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Поддубная\2023\Програма Охорона здоров'я 2023\рішення на сесію листопад\проект\по новому\Новая папка\"/>
    </mc:Choice>
  </mc:AlternateContent>
  <bookViews>
    <workbookView xWindow="0" yWindow="0" windowWidth="20490" windowHeight="7605" tabRatio="1000" firstSheet="1" activeTab="1"/>
  </bookViews>
  <sheets>
    <sheet name="Додаток 1" sheetId="10" state="hidden" r:id="rId1"/>
    <sheet name="Дод.3" sheetId="25" r:id="rId2"/>
    <sheet name="Дод.4" sheetId="14" r:id="rId3"/>
    <sheet name="порівняльна" sheetId="35" r:id="rId4"/>
  </sheets>
  <definedNames>
    <definedName name="_xlnm._FilterDatabase" localSheetId="1" hidden="1">Дод.3!$A$7:$L$463</definedName>
    <definedName name="_xlnm.Print_Titles" localSheetId="1">Дод.3!$7:$10</definedName>
    <definedName name="_xlnm.Print_Titles" localSheetId="2">Дод.4!$8:$12</definedName>
    <definedName name="_xlnm.Print_Area" localSheetId="1">Дод.3!$A$1:$L$465</definedName>
    <definedName name="_xlnm.Print_Area" localSheetId="2">Дод.4!$A$1:$K$547</definedName>
    <definedName name="_xlnm.Print_Area" localSheetId="0">'Додаток 1'!$A$1:$C$28</definedName>
    <definedName name="_xlnm.Print_Area" localSheetId="3">порівняльна!$A$1:$I$28</definedName>
  </definedNames>
  <calcPr calcId="162913"/>
</workbook>
</file>

<file path=xl/calcChain.xml><?xml version="1.0" encoding="utf-8"?>
<calcChain xmlns="http://schemas.openxmlformats.org/spreadsheetml/2006/main">
  <c r="M289" i="25" l="1"/>
  <c r="F16" i="14"/>
  <c r="F13" i="14" s="1"/>
  <c r="G16" i="14"/>
  <c r="F37" i="14"/>
  <c r="G44" i="14"/>
  <c r="G60" i="14"/>
  <c r="F44" i="14"/>
  <c r="F58" i="14"/>
  <c r="G58" i="14"/>
  <c r="F48" i="14"/>
  <c r="G48" i="14"/>
  <c r="F53" i="14"/>
  <c r="J30" i="25"/>
  <c r="J25" i="25"/>
  <c r="J31" i="25"/>
  <c r="J26" i="25"/>
  <c r="J23" i="25"/>
  <c r="J20" i="25"/>
  <c r="J167" i="25"/>
  <c r="J166" i="25"/>
  <c r="J159" i="25"/>
  <c r="J158" i="25"/>
  <c r="J35" i="25" l="1"/>
  <c r="H32" i="25"/>
  <c r="H433" i="14" l="1"/>
  <c r="F16" i="35" l="1"/>
  <c r="J353" i="25"/>
  <c r="F19" i="35"/>
  <c r="J208" i="25"/>
  <c r="J263" i="25"/>
  <c r="F20" i="35"/>
  <c r="J228" i="25"/>
  <c r="I191" i="25"/>
  <c r="I194" i="25"/>
  <c r="K194" i="25"/>
  <c r="J194" i="25"/>
  <c r="H188" i="25"/>
  <c r="H194" i="25" s="1"/>
  <c r="J190" i="25"/>
  <c r="I284" i="25" l="1"/>
  <c r="K284" i="25"/>
  <c r="I283" i="25" l="1"/>
  <c r="I321" i="25" s="1"/>
  <c r="K283" i="25"/>
  <c r="K269" i="25"/>
  <c r="I110" i="25"/>
  <c r="I149" i="25" s="1"/>
  <c r="K110" i="25"/>
  <c r="K149" i="25" s="1"/>
  <c r="J110" i="25"/>
  <c r="J149" i="25" s="1"/>
  <c r="K108" i="25"/>
  <c r="J108" i="25"/>
  <c r="I97" i="25"/>
  <c r="I295" i="25" s="1"/>
  <c r="K97" i="25"/>
  <c r="K315" i="25" s="1"/>
  <c r="J97" i="25"/>
  <c r="J295" i="25" s="1"/>
  <c r="K95" i="25"/>
  <c r="K106" i="25"/>
  <c r="F23" i="35"/>
  <c r="I315" i="25" l="1"/>
  <c r="J315" i="25"/>
  <c r="K295" i="25"/>
  <c r="J129" i="25"/>
  <c r="I129" i="25"/>
  <c r="K129" i="25"/>
  <c r="F14" i="35"/>
  <c r="F22" i="35"/>
  <c r="F12" i="35"/>
  <c r="F10" i="35"/>
  <c r="F9" i="35"/>
  <c r="J84" i="25"/>
  <c r="J83" i="25" s="1"/>
  <c r="J74" i="25"/>
  <c r="J78" i="25"/>
  <c r="F8" i="35" l="1"/>
  <c r="F13" i="35"/>
  <c r="J93" i="25"/>
  <c r="J52" i="25"/>
  <c r="F11" i="35" l="1"/>
  <c r="J76" i="25"/>
  <c r="J106" i="25" s="1"/>
  <c r="J137" i="25" s="1"/>
  <c r="J283" i="25" l="1"/>
  <c r="J202" i="25"/>
  <c r="J286" i="25" l="1"/>
  <c r="J330" i="25" s="1"/>
  <c r="D429" i="14"/>
  <c r="D428" i="14"/>
  <c r="I408" i="14"/>
  <c r="I405" i="14"/>
  <c r="I402" i="14"/>
  <c r="I401" i="14"/>
  <c r="J209" i="25" l="1"/>
  <c r="J201" i="25" s="1"/>
  <c r="J65" i="25"/>
  <c r="J267" i="25"/>
  <c r="J284" i="25" s="1"/>
  <c r="J324" i="25" s="1"/>
  <c r="J69" i="25"/>
  <c r="J66" i="25" s="1"/>
  <c r="J225" i="25"/>
  <c r="J270" i="25"/>
  <c r="J269" i="25" l="1"/>
  <c r="H535" i="14" s="1"/>
  <c r="F535" i="14" s="1"/>
  <c r="J95" i="25"/>
  <c r="J259" i="25"/>
  <c r="F539" i="14"/>
  <c r="H536" i="14"/>
  <c r="F536" i="14" s="1"/>
  <c r="H541" i="14" l="1"/>
  <c r="F541" i="14" s="1"/>
  <c r="H542" i="14"/>
  <c r="F542" i="14" s="1"/>
  <c r="F496" i="14"/>
  <c r="H458" i="14" l="1"/>
  <c r="H411" i="14" s="1"/>
  <c r="H189" i="25"/>
  <c r="H190" i="25"/>
  <c r="F458" i="14" l="1"/>
  <c r="F21" i="35" l="1"/>
  <c r="F15" i="35"/>
  <c r="J235" i="25" l="1"/>
  <c r="H493" i="14" s="1"/>
  <c r="F493" i="14" l="1"/>
  <c r="H499" i="14"/>
  <c r="F499" i="14" s="1"/>
  <c r="I52" i="14"/>
  <c r="I51" i="14"/>
  <c r="I50" i="14"/>
  <c r="F52" i="14"/>
  <c r="F51" i="14"/>
  <c r="F50" i="14"/>
  <c r="K35" i="25"/>
  <c r="K34" i="25"/>
  <c r="J34" i="25"/>
  <c r="H31" i="25"/>
  <c r="H30" i="25"/>
  <c r="J29" i="25"/>
  <c r="G47" i="14" s="1"/>
  <c r="G57" i="14" s="1"/>
  <c r="K29" i="25"/>
  <c r="J47" i="14" s="1"/>
  <c r="I29" i="25"/>
  <c r="H26" i="25"/>
  <c r="H25" i="25"/>
  <c r="I24" i="25"/>
  <c r="K24" i="25"/>
  <c r="J24" i="25"/>
  <c r="G46" i="14" s="1"/>
  <c r="H23" i="25"/>
  <c r="J21" i="25"/>
  <c r="G45" i="14" s="1"/>
  <c r="K21" i="25"/>
  <c r="J45" i="14" s="1"/>
  <c r="I21" i="25"/>
  <c r="J55" i="14" l="1"/>
  <c r="I55" i="14" s="1"/>
  <c r="I45" i="14"/>
  <c r="H24" i="25"/>
  <c r="J46" i="14"/>
  <c r="F57" i="14"/>
  <c r="F47" i="14"/>
  <c r="F45" i="14"/>
  <c r="G55" i="14"/>
  <c r="F55" i="14" s="1"/>
  <c r="G56" i="14"/>
  <c r="F56" i="14" s="1"/>
  <c r="F46" i="14"/>
  <c r="J57" i="14"/>
  <c r="I57" i="14" s="1"/>
  <c r="I47" i="14"/>
  <c r="H29" i="25"/>
  <c r="H21" i="25"/>
  <c r="K223" i="25"/>
  <c r="K234" i="25"/>
  <c r="J287" i="25"/>
  <c r="H265" i="25"/>
  <c r="H266" i="25"/>
  <c r="H267" i="25"/>
  <c r="H284" i="25" s="1"/>
  <c r="H268" i="25"/>
  <c r="H270" i="25"/>
  <c r="H264" i="25"/>
  <c r="K259" i="25"/>
  <c r="H259" i="25" s="1"/>
  <c r="J56" i="14" l="1"/>
  <c r="I56" i="14" s="1"/>
  <c r="I46" i="14"/>
  <c r="J44" i="14"/>
  <c r="J187" i="25"/>
  <c r="J191" i="25" s="1"/>
  <c r="J168" i="25"/>
  <c r="I44" i="14" l="1"/>
  <c r="J60" i="14"/>
  <c r="I60" i="14" s="1"/>
  <c r="K125" i="25" l="1"/>
  <c r="J125" i="25"/>
  <c r="I379" i="14"/>
  <c r="F379" i="14"/>
  <c r="C278" i="14" l="1"/>
  <c r="I473" i="14" l="1"/>
  <c r="C163" i="14"/>
  <c r="C164" i="14"/>
  <c r="C165" i="14"/>
  <c r="C171" i="14"/>
  <c r="D161" i="14"/>
  <c r="D169" i="14" s="1"/>
  <c r="C169" i="14" s="1"/>
  <c r="D160" i="14"/>
  <c r="C160" i="14" s="1"/>
  <c r="D159" i="14"/>
  <c r="D167" i="14" s="1"/>
  <c r="C167" i="14" s="1"/>
  <c r="D147" i="14"/>
  <c r="F538" i="14"/>
  <c r="E527" i="14"/>
  <c r="E509" i="14"/>
  <c r="C509" i="14" s="1"/>
  <c r="F520" i="14"/>
  <c r="F524" i="14"/>
  <c r="E478" i="14"/>
  <c r="I495" i="14"/>
  <c r="F495" i="14"/>
  <c r="E464" i="14"/>
  <c r="C161" i="14" l="1"/>
  <c r="C159" i="14"/>
  <c r="D168" i="14"/>
  <c r="C168" i="14" s="1"/>
  <c r="E513" i="14"/>
  <c r="F473" i="14"/>
  <c r="E458" i="14" l="1"/>
  <c r="E411" i="14" s="1"/>
  <c r="D451" i="14" l="1"/>
  <c r="D415" i="14"/>
  <c r="I434" i="14"/>
  <c r="I435" i="14"/>
  <c r="I436" i="14"/>
  <c r="I438" i="14"/>
  <c r="I439" i="14"/>
  <c r="I441" i="14"/>
  <c r="I442" i="14"/>
  <c r="I443" i="14"/>
  <c r="I444" i="14"/>
  <c r="F434" i="14"/>
  <c r="F435" i="14"/>
  <c r="F436" i="14"/>
  <c r="F438" i="14"/>
  <c r="F439" i="14"/>
  <c r="F441" i="14"/>
  <c r="F442" i="14"/>
  <c r="F443" i="14"/>
  <c r="F444" i="14"/>
  <c r="J448" i="14"/>
  <c r="I448" i="14" s="1"/>
  <c r="J447" i="14"/>
  <c r="I447" i="14" s="1"/>
  <c r="J446" i="14"/>
  <c r="I446" i="14" s="1"/>
  <c r="J437" i="14"/>
  <c r="I437" i="14" s="1"/>
  <c r="G448" i="14"/>
  <c r="F448" i="14" s="1"/>
  <c r="G447" i="14"/>
  <c r="F447" i="14" s="1"/>
  <c r="G446" i="14"/>
  <c r="F446" i="14" s="1"/>
  <c r="G437" i="14"/>
  <c r="F437" i="14" s="1"/>
  <c r="G433" i="14"/>
  <c r="F401" i="14"/>
  <c r="F402" i="14"/>
  <c r="F405" i="14"/>
  <c r="F408" i="14"/>
  <c r="D386" i="14"/>
  <c r="J399" i="14"/>
  <c r="I399" i="14" s="1"/>
  <c r="G399" i="14"/>
  <c r="F399" i="14" s="1"/>
  <c r="D368" i="14"/>
  <c r="I353" i="14"/>
  <c r="I354" i="14"/>
  <c r="I355" i="14"/>
  <c r="I357" i="14"/>
  <c r="I358" i="14"/>
  <c r="I359" i="14"/>
  <c r="J362" i="14"/>
  <c r="I362" i="14" s="1"/>
  <c r="J363" i="14"/>
  <c r="I363" i="14" s="1"/>
  <c r="J361" i="14"/>
  <c r="I361" i="14" s="1"/>
  <c r="F353" i="14"/>
  <c r="F354" i="14"/>
  <c r="F355" i="14"/>
  <c r="F357" i="14"/>
  <c r="F358" i="14"/>
  <c r="F359" i="14"/>
  <c r="G363" i="14"/>
  <c r="F363" i="14" s="1"/>
  <c r="G362" i="14"/>
  <c r="F362" i="14" s="1"/>
  <c r="G361" i="14"/>
  <c r="F361" i="14" s="1"/>
  <c r="D336" i="14"/>
  <c r="D349" i="14" s="1"/>
  <c r="I329" i="14"/>
  <c r="F329" i="14"/>
  <c r="D318" i="14"/>
  <c r="I307" i="14"/>
  <c r="I311" i="14"/>
  <c r="F307" i="14"/>
  <c r="F311" i="14"/>
  <c r="J305" i="14"/>
  <c r="I305" i="14" s="1"/>
  <c r="G305" i="14"/>
  <c r="F305" i="14" s="1"/>
  <c r="D295" i="14"/>
  <c r="D302" i="14" s="1"/>
  <c r="I282" i="14"/>
  <c r="I283" i="14"/>
  <c r="I284" i="14"/>
  <c r="I286" i="14"/>
  <c r="I287" i="14"/>
  <c r="I289" i="14"/>
  <c r="I290" i="14"/>
  <c r="I291" i="14"/>
  <c r="I292" i="14"/>
  <c r="F282" i="14"/>
  <c r="F283" i="14"/>
  <c r="F284" i="14"/>
  <c r="F286" i="14"/>
  <c r="F287" i="14"/>
  <c r="F290" i="14"/>
  <c r="F292" i="14"/>
  <c r="G291" i="14"/>
  <c r="F291" i="14" s="1"/>
  <c r="D277" i="14"/>
  <c r="J281" i="14"/>
  <c r="I281" i="14" s="1"/>
  <c r="G281" i="14"/>
  <c r="F281" i="14" s="1"/>
  <c r="D267" i="14"/>
  <c r="I125" i="25"/>
  <c r="J124" i="25"/>
  <c r="K124" i="25"/>
  <c r="I124" i="25"/>
  <c r="H123" i="25"/>
  <c r="H122" i="25"/>
  <c r="H121" i="25"/>
  <c r="D83" i="14"/>
  <c r="C261" i="14"/>
  <c r="D259" i="14"/>
  <c r="D263" i="14" s="1"/>
  <c r="C263" i="14" s="1"/>
  <c r="F251" i="14"/>
  <c r="F255" i="14"/>
  <c r="I251" i="14"/>
  <c r="I255" i="14"/>
  <c r="J249" i="14"/>
  <c r="I249" i="14" s="1"/>
  <c r="G249" i="14"/>
  <c r="D239" i="14"/>
  <c r="D243" i="14" s="1"/>
  <c r="J119" i="25"/>
  <c r="K119" i="25"/>
  <c r="I119" i="25"/>
  <c r="J118" i="25"/>
  <c r="K118" i="25"/>
  <c r="I118" i="25"/>
  <c r="H116" i="25"/>
  <c r="H114" i="25"/>
  <c r="C368" i="14" l="1"/>
  <c r="D374" i="14"/>
  <c r="H124" i="25"/>
  <c r="D314" i="14"/>
  <c r="F433" i="14"/>
  <c r="G411" i="14"/>
  <c r="D411" i="14"/>
  <c r="B399" i="14"/>
  <c r="B368" i="14"/>
  <c r="B281" i="14"/>
  <c r="B305" i="14"/>
  <c r="G309" i="14"/>
  <c r="F309" i="14" s="1"/>
  <c r="G312" i="14"/>
  <c r="F312" i="14" s="1"/>
  <c r="J309" i="14"/>
  <c r="I309" i="14" s="1"/>
  <c r="J312" i="14"/>
  <c r="I312" i="14" s="1"/>
  <c r="C259" i="14"/>
  <c r="B259" i="14" s="1"/>
  <c r="G256" i="14"/>
  <c r="F256" i="14" s="1"/>
  <c r="J253" i="14"/>
  <c r="I253" i="14" s="1"/>
  <c r="J256" i="14"/>
  <c r="I256" i="14" s="1"/>
  <c r="F249" i="14"/>
  <c r="B249" i="14" s="1"/>
  <c r="G253" i="14"/>
  <c r="F253" i="14" s="1"/>
  <c r="D246" i="14"/>
  <c r="F201" i="14"/>
  <c r="C119" i="14" l="1"/>
  <c r="C118" i="14"/>
  <c r="C126" i="14"/>
  <c r="D115" i="14"/>
  <c r="C115" i="14" s="1"/>
  <c r="D47" i="14"/>
  <c r="D46" i="14"/>
  <c r="D45" i="14"/>
  <c r="D55" i="14" l="1"/>
  <c r="D44" i="14"/>
  <c r="D122" i="14"/>
  <c r="C122" i="14" s="1"/>
  <c r="D113" i="14"/>
  <c r="C113" i="14" s="1"/>
  <c r="B113" i="14" s="1"/>
  <c r="D123" i="14"/>
  <c r="C123" i="14" s="1"/>
  <c r="I286" i="25"/>
  <c r="I330" i="25" s="1"/>
  <c r="K286" i="25"/>
  <c r="K330" i="25" s="1"/>
  <c r="J292" i="25"/>
  <c r="K292" i="25"/>
  <c r="I288" i="25"/>
  <c r="J288" i="25"/>
  <c r="K288" i="25"/>
  <c r="I287" i="25"/>
  <c r="K287" i="25"/>
  <c r="D60" i="14" l="1"/>
  <c r="F60" i="14"/>
  <c r="I282" i="25"/>
  <c r="J282" i="25"/>
  <c r="K282" i="25"/>
  <c r="I281" i="25"/>
  <c r="J281" i="25"/>
  <c r="K281" i="25"/>
  <c r="I280" i="25"/>
  <c r="K280" i="25"/>
  <c r="I279" i="25"/>
  <c r="J279" i="25"/>
  <c r="K279" i="25"/>
  <c r="K278" i="25"/>
  <c r="I277" i="25"/>
  <c r="J277" i="25"/>
  <c r="K277" i="25"/>
  <c r="I275" i="25"/>
  <c r="J275" i="25"/>
  <c r="K275" i="25"/>
  <c r="I274" i="25"/>
  <c r="I298" i="25" s="1"/>
  <c r="J274" i="25"/>
  <c r="J298" i="25" s="1"/>
  <c r="K274" i="25"/>
  <c r="K298" i="25" s="1"/>
  <c r="K276" i="25"/>
  <c r="J276" i="25"/>
  <c r="I276" i="25"/>
  <c r="I273" i="25"/>
  <c r="I292" i="25" s="1"/>
  <c r="H255" i="25"/>
  <c r="H256" i="25"/>
  <c r="H257" i="25"/>
  <c r="H258" i="25"/>
  <c r="H254" i="25"/>
  <c r="H241" i="25"/>
  <c r="H277" i="25" s="1"/>
  <c r="H242" i="25"/>
  <c r="H279" i="25" s="1"/>
  <c r="H243" i="25"/>
  <c r="H244" i="25"/>
  <c r="H245" i="25"/>
  <c r="H246" i="25"/>
  <c r="H240" i="25"/>
  <c r="H222" i="25"/>
  <c r="H214" i="25"/>
  <c r="H215" i="25"/>
  <c r="H216" i="25"/>
  <c r="H217" i="25"/>
  <c r="H218" i="25"/>
  <c r="H219" i="25"/>
  <c r="H220" i="25"/>
  <c r="H221" i="25"/>
  <c r="H213" i="25"/>
  <c r="H197" i="25"/>
  <c r="H198" i="25"/>
  <c r="H288" i="25" s="1"/>
  <c r="H199" i="25"/>
  <c r="H200" i="25"/>
  <c r="H196" i="25"/>
  <c r="H193" i="25"/>
  <c r="K193" i="25"/>
  <c r="K331" i="25" s="1"/>
  <c r="K460" i="25" s="1"/>
  <c r="J193" i="25"/>
  <c r="J331" i="25" s="1"/>
  <c r="I193" i="25"/>
  <c r="I331" i="25" s="1"/>
  <c r="I192" i="25"/>
  <c r="H186" i="25"/>
  <c r="K184" i="25"/>
  <c r="J184" i="25"/>
  <c r="I184" i="25"/>
  <c r="K183" i="25"/>
  <c r="J183" i="25"/>
  <c r="I183" i="25"/>
  <c r="J182" i="25"/>
  <c r="K182" i="25"/>
  <c r="I182" i="25"/>
  <c r="K181" i="25"/>
  <c r="I181" i="25"/>
  <c r="K180" i="25"/>
  <c r="J180" i="25"/>
  <c r="I180" i="25"/>
  <c r="K179" i="25"/>
  <c r="I179" i="25"/>
  <c r="K178" i="25"/>
  <c r="I178" i="25"/>
  <c r="I177" i="25"/>
  <c r="H175" i="25"/>
  <c r="H170" i="25"/>
  <c r="H171" i="25"/>
  <c r="H169" i="25"/>
  <c r="H162" i="25"/>
  <c r="H163" i="25"/>
  <c r="H164" i="25"/>
  <c r="H161" i="25"/>
  <c r="H158" i="25"/>
  <c r="H154" i="25"/>
  <c r="H155" i="25"/>
  <c r="H156" i="25"/>
  <c r="H153" i="25"/>
  <c r="H294" i="25" l="1"/>
  <c r="H331" i="25"/>
  <c r="H273" i="25"/>
  <c r="H292" i="25" s="1"/>
  <c r="H120" i="25"/>
  <c r="H125" i="25" s="1"/>
  <c r="H113" i="25"/>
  <c r="H119" i="25" s="1"/>
  <c r="J112" i="25"/>
  <c r="K112" i="25"/>
  <c r="I112" i="25"/>
  <c r="J109" i="25"/>
  <c r="J107" i="25" s="1"/>
  <c r="K109" i="25"/>
  <c r="K107" i="25" s="1"/>
  <c r="I109" i="25"/>
  <c r="J104" i="25"/>
  <c r="K104" i="25"/>
  <c r="I104" i="25"/>
  <c r="K102" i="25"/>
  <c r="J102" i="25"/>
  <c r="I102" i="25"/>
  <c r="J100" i="25"/>
  <c r="I100" i="25"/>
  <c r="I131" i="25" s="1"/>
  <c r="I297" i="25" s="1"/>
  <c r="J96" i="25"/>
  <c r="J94" i="25" s="1"/>
  <c r="K96" i="25"/>
  <c r="K94" i="25" s="1"/>
  <c r="I96" i="25"/>
  <c r="I405" i="25" l="1"/>
  <c r="I296" i="25"/>
  <c r="I87" i="25"/>
  <c r="D208" i="14" s="1"/>
  <c r="H88" i="25"/>
  <c r="H89" i="25"/>
  <c r="K83" i="25"/>
  <c r="J199" i="14" s="1"/>
  <c r="I199" i="14" s="1"/>
  <c r="H82" i="25"/>
  <c r="I81" i="25"/>
  <c r="I108" i="25" s="1"/>
  <c r="I107" i="25" s="1"/>
  <c r="I80" i="25"/>
  <c r="H80" i="25" s="1"/>
  <c r="J72" i="25"/>
  <c r="K72" i="25"/>
  <c r="I72" i="25"/>
  <c r="H77" i="25"/>
  <c r="H75" i="25"/>
  <c r="H73" i="25"/>
  <c r="D157" i="14" l="1"/>
  <c r="C157" i="14" s="1"/>
  <c r="B157" i="14" s="1"/>
  <c r="I79" i="25"/>
  <c r="H87" i="25"/>
  <c r="H109" i="25"/>
  <c r="H96" i="25"/>
  <c r="H81" i="25"/>
  <c r="K66" i="25"/>
  <c r="I66" i="25"/>
  <c r="H68" i="25"/>
  <c r="H67" i="25"/>
  <c r="H54" i="25"/>
  <c r="H55" i="25"/>
  <c r="H56" i="25"/>
  <c r="H57" i="25"/>
  <c r="H58" i="25"/>
  <c r="H53" i="25"/>
  <c r="H22" i="25"/>
  <c r="H79" i="25" l="1"/>
  <c r="D190" i="14"/>
  <c r="J59" i="25"/>
  <c r="K59" i="25"/>
  <c r="H49" i="25"/>
  <c r="C458" i="14" l="1"/>
  <c r="B458" i="14" s="1"/>
  <c r="E466" i="14"/>
  <c r="F151" i="14"/>
  <c r="C150" i="14"/>
  <c r="G147" i="14"/>
  <c r="G150" i="14"/>
  <c r="F150" i="14" s="1"/>
  <c r="J253" i="25" l="1"/>
  <c r="H70" i="25"/>
  <c r="J192" i="25" l="1"/>
  <c r="H84" i="25"/>
  <c r="G199" i="14"/>
  <c r="C484" i="14"/>
  <c r="E479" i="14"/>
  <c r="E487" i="14" s="1"/>
  <c r="E480" i="14"/>
  <c r="E488" i="14" s="1"/>
  <c r="G203" i="14" l="1"/>
  <c r="F203" i="14" s="1"/>
  <c r="F199" i="14"/>
  <c r="B199" i="14" s="1"/>
  <c r="K491" i="14"/>
  <c r="H235" i="25"/>
  <c r="H287" i="25" l="1"/>
  <c r="I491" i="14"/>
  <c r="K498" i="14"/>
  <c r="I498" i="14" s="1"/>
  <c r="J332" i="25"/>
  <c r="J461" i="25" s="1"/>
  <c r="K332" i="25"/>
  <c r="K461" i="25" s="1"/>
  <c r="I332" i="25"/>
  <c r="I461" i="25" s="1"/>
  <c r="H332" i="25"/>
  <c r="H461" i="25" s="1"/>
  <c r="J223" i="25" l="1"/>
  <c r="H492" i="14" l="1"/>
  <c r="J234" i="25"/>
  <c r="J278" i="25"/>
  <c r="J308" i="25" s="1"/>
  <c r="H491" i="14"/>
  <c r="H471" i="14"/>
  <c r="J280" i="25"/>
  <c r="J312" i="25" s="1"/>
  <c r="K403" i="25"/>
  <c r="K294" i="25"/>
  <c r="J294" i="25"/>
  <c r="I294" i="25"/>
  <c r="H498" i="14" l="1"/>
  <c r="F492" i="14"/>
  <c r="F498" i="14"/>
  <c r="F491" i="14"/>
  <c r="B491" i="14" s="1"/>
  <c r="F471" i="14"/>
  <c r="H475" i="14"/>
  <c r="F475" i="14" s="1"/>
  <c r="I460" i="25"/>
  <c r="I403" i="25"/>
  <c r="J460" i="25"/>
  <c r="J403" i="25"/>
  <c r="H460" i="25" l="1"/>
  <c r="H403" i="25"/>
  <c r="J128" i="25" l="1"/>
  <c r="J293" i="25" s="1"/>
  <c r="K148" i="25"/>
  <c r="K314" i="25" s="1"/>
  <c r="I128" i="25"/>
  <c r="I293" i="25" s="1"/>
  <c r="H86" i="25"/>
  <c r="H110" i="25" l="1"/>
  <c r="H97" i="25"/>
  <c r="K128" i="25"/>
  <c r="K293" i="25" s="1"/>
  <c r="K402" i="25"/>
  <c r="K436" i="25"/>
  <c r="J148" i="25"/>
  <c r="J314" i="25" s="1"/>
  <c r="I148" i="25"/>
  <c r="I314" i="25" s="1"/>
  <c r="H148" i="25"/>
  <c r="H314" i="25" s="1"/>
  <c r="H128" i="25"/>
  <c r="H293" i="25" s="1"/>
  <c r="H315" i="25" l="1"/>
  <c r="H295" i="25"/>
  <c r="H149" i="25"/>
  <c r="H129" i="25"/>
  <c r="I436" i="25"/>
  <c r="I402" i="25"/>
  <c r="J436" i="25"/>
  <c r="J402" i="25"/>
  <c r="H402" i="25"/>
  <c r="H436" i="25"/>
  <c r="C453" i="14" l="1"/>
  <c r="C451" i="14"/>
  <c r="G131" i="14"/>
  <c r="F131" i="14" s="1"/>
  <c r="G132" i="14"/>
  <c r="F132" i="14" s="1"/>
  <c r="D455" i="14" l="1"/>
  <c r="C455" i="14" s="1"/>
  <c r="G140" i="14"/>
  <c r="F140" i="14" s="1"/>
  <c r="I151" i="25"/>
  <c r="K151" i="25"/>
  <c r="J111" i="25"/>
  <c r="H65" i="25"/>
  <c r="H112" i="25" s="1"/>
  <c r="I52" i="25"/>
  <c r="I95" i="25" l="1"/>
  <c r="I94" i="25" s="1"/>
  <c r="I106" i="25"/>
  <c r="K150" i="25"/>
  <c r="I150" i="25"/>
  <c r="I329" i="25"/>
  <c r="I328" i="25" s="1"/>
  <c r="J151" i="25"/>
  <c r="C411" i="14"/>
  <c r="I111" i="25"/>
  <c r="H151" i="25"/>
  <c r="K111" i="25"/>
  <c r="J401" i="25"/>
  <c r="J427" i="25" s="1"/>
  <c r="K401" i="25"/>
  <c r="K427" i="25" s="1"/>
  <c r="I401" i="25"/>
  <c r="I427" i="25" s="1"/>
  <c r="J372" i="25"/>
  <c r="I372" i="25"/>
  <c r="H373" i="25"/>
  <c r="J384" i="25"/>
  <c r="I384" i="25"/>
  <c r="I398" i="25"/>
  <c r="K384" i="25"/>
  <c r="I341" i="25"/>
  <c r="I335" i="25"/>
  <c r="H348" i="25"/>
  <c r="H344" i="25"/>
  <c r="J150" i="25" l="1"/>
  <c r="J329" i="25"/>
  <c r="J328" i="25" s="1"/>
  <c r="H150" i="25"/>
  <c r="H111" i="25"/>
  <c r="C415" i="14"/>
  <c r="H389" i="25"/>
  <c r="D337" i="14" l="1"/>
  <c r="D343" i="14"/>
  <c r="D338" i="14"/>
  <c r="D342" i="14"/>
  <c r="D341" i="14"/>
  <c r="D339" i="14"/>
  <c r="J174" i="25" l="1"/>
  <c r="J181" i="25" s="1"/>
  <c r="J173" i="25"/>
  <c r="G134" i="14"/>
  <c r="G148" i="14"/>
  <c r="F147" i="14"/>
  <c r="H64" i="25"/>
  <c r="J179" i="25" l="1"/>
  <c r="J178" i="25"/>
  <c r="G154" i="14"/>
  <c r="F154" i="14" s="1"/>
  <c r="F148" i="14"/>
  <c r="G153" i="14"/>
  <c r="F153" i="14" s="1"/>
  <c r="K100" i="25"/>
  <c r="H63" i="25"/>
  <c r="H117" i="25" l="1"/>
  <c r="H85" i="25" l="1"/>
  <c r="H83" i="25" s="1"/>
  <c r="B451" i="14" l="1"/>
  <c r="G224" i="14"/>
  <c r="F228" i="14"/>
  <c r="F227" i="14"/>
  <c r="F225" i="14"/>
  <c r="F233" i="14"/>
  <c r="F231" i="14"/>
  <c r="F224" i="14" l="1"/>
  <c r="B224" i="14" s="1"/>
  <c r="H93" i="25"/>
  <c r="I313" i="25" l="1"/>
  <c r="I435" i="25" s="1"/>
  <c r="J313" i="25"/>
  <c r="J435" i="25" s="1"/>
  <c r="K313" i="25"/>
  <c r="K435" i="25" s="1"/>
  <c r="J309" i="25"/>
  <c r="J428" i="25" s="1"/>
  <c r="K309" i="25"/>
  <c r="K428" i="25" s="1"/>
  <c r="I309" i="25"/>
  <c r="I428" i="25" s="1"/>
  <c r="J305" i="25"/>
  <c r="J420" i="25" s="1"/>
  <c r="K305" i="25"/>
  <c r="K420" i="25" s="1"/>
  <c r="I305" i="25"/>
  <c r="I420" i="25" s="1"/>
  <c r="J400" i="25"/>
  <c r="K400" i="25"/>
  <c r="C529" i="14"/>
  <c r="I400" i="25" l="1"/>
  <c r="C396" i="14"/>
  <c r="C395" i="14"/>
  <c r="D393" i="14"/>
  <c r="C393" i="14" s="1"/>
  <c r="D392" i="14"/>
  <c r="C392" i="14" s="1"/>
  <c r="C390" i="14"/>
  <c r="C389" i="14"/>
  <c r="C388" i="14"/>
  <c r="D211" i="14"/>
  <c r="C211" i="14" s="1"/>
  <c r="J247" i="25"/>
  <c r="H518" i="14" s="1"/>
  <c r="K247" i="25"/>
  <c r="J131" i="25"/>
  <c r="J297" i="25" s="1"/>
  <c r="J405" i="25" s="1"/>
  <c r="K131" i="25"/>
  <c r="K297" i="25" s="1"/>
  <c r="H92" i="25"/>
  <c r="H91" i="25"/>
  <c r="J90" i="25"/>
  <c r="G216" i="14" s="1"/>
  <c r="K90" i="25"/>
  <c r="H534" i="14"/>
  <c r="H261" i="25"/>
  <c r="H262" i="25"/>
  <c r="H263" i="25"/>
  <c r="H260" i="25"/>
  <c r="E531" i="14"/>
  <c r="C531" i="14" s="1"/>
  <c r="H176" i="25"/>
  <c r="H180" i="25" s="1"/>
  <c r="I304" i="25"/>
  <c r="I417" i="25" s="1"/>
  <c r="H252" i="25"/>
  <c r="H253" i="25"/>
  <c r="H251" i="25"/>
  <c r="H250" i="25"/>
  <c r="H269" i="25" l="1"/>
  <c r="F534" i="14"/>
  <c r="B534" i="14" s="1"/>
  <c r="H522" i="14"/>
  <c r="F522" i="14" s="1"/>
  <c r="F518" i="14"/>
  <c r="B518" i="14" s="1"/>
  <c r="F216" i="14"/>
  <c r="B216" i="14" s="1"/>
  <c r="G221" i="14"/>
  <c r="F221" i="14" s="1"/>
  <c r="H281" i="25"/>
  <c r="H313" i="25" s="1"/>
  <c r="H435" i="25" s="1"/>
  <c r="H90" i="25"/>
  <c r="C527" i="14"/>
  <c r="D213" i="14"/>
  <c r="C213" i="14" s="1"/>
  <c r="C208" i="14"/>
  <c r="C511" i="14"/>
  <c r="H249" i="25"/>
  <c r="H309" i="25" s="1"/>
  <c r="H428" i="25" s="1"/>
  <c r="H248" i="25"/>
  <c r="C190" i="14"/>
  <c r="I237" i="25"/>
  <c r="I278" i="25" s="1"/>
  <c r="B208" i="14" l="1"/>
  <c r="B527" i="14"/>
  <c r="C194" i="14"/>
  <c r="B190" i="14"/>
  <c r="H305" i="25"/>
  <c r="H420" i="25" s="1"/>
  <c r="H247" i="25"/>
  <c r="C513" i="14" s="1"/>
  <c r="D194" i="14"/>
  <c r="J333" i="25"/>
  <c r="J462" i="25" s="1"/>
  <c r="K333" i="25"/>
  <c r="K462" i="25" s="1"/>
  <c r="K201" i="25"/>
  <c r="K471" i="14" s="1"/>
  <c r="H203" i="25"/>
  <c r="K475" i="14" l="1"/>
  <c r="I475" i="14" s="1"/>
  <c r="K460" i="14"/>
  <c r="I471" i="14"/>
  <c r="B471" i="14" s="1"/>
  <c r="B509" i="14"/>
  <c r="H333" i="25"/>
  <c r="H462" i="25" s="1"/>
  <c r="H400" i="25"/>
  <c r="I308" i="25"/>
  <c r="I423" i="25" s="1"/>
  <c r="I333" i="25"/>
  <c r="I462" i="25" s="1"/>
  <c r="J455" i="25"/>
  <c r="K455" i="25"/>
  <c r="I456" i="25"/>
  <c r="I455" i="25"/>
  <c r="I451" i="25"/>
  <c r="J451" i="25"/>
  <c r="K451" i="25"/>
  <c r="I413" i="25" l="1"/>
  <c r="J413" i="25"/>
  <c r="K413" i="25"/>
  <c r="H393" i="25" l="1"/>
  <c r="H456" i="25" s="1"/>
  <c r="H392" i="25"/>
  <c r="H451" i="25" s="1"/>
  <c r="K440" i="25"/>
  <c r="J456" i="25"/>
  <c r="K456" i="25"/>
  <c r="I450" i="25"/>
  <c r="J450" i="25"/>
  <c r="K450" i="25"/>
  <c r="I445" i="25"/>
  <c r="J445" i="25"/>
  <c r="K445" i="25"/>
  <c r="I446" i="25"/>
  <c r="J446" i="25"/>
  <c r="K446" i="25"/>
  <c r="I440" i="25"/>
  <c r="J440" i="25"/>
  <c r="I441" i="25"/>
  <c r="J441" i="25"/>
  <c r="K441" i="25"/>
  <c r="I432" i="25"/>
  <c r="J432" i="25"/>
  <c r="K432" i="25"/>
  <c r="I433" i="25"/>
  <c r="J433" i="25"/>
  <c r="K433" i="25"/>
  <c r="I425" i="25"/>
  <c r="J425" i="25"/>
  <c r="K425" i="25"/>
  <c r="I426" i="25"/>
  <c r="J426" i="25"/>
  <c r="K426" i="25"/>
  <c r="I418" i="25"/>
  <c r="J418" i="25"/>
  <c r="K418" i="25"/>
  <c r="I419" i="25"/>
  <c r="J419" i="25"/>
  <c r="K419" i="25"/>
  <c r="I414" i="25"/>
  <c r="J414" i="25"/>
  <c r="K414" i="25"/>
  <c r="I408" i="25"/>
  <c r="J408" i="25"/>
  <c r="K408" i="25"/>
  <c r="I409" i="25"/>
  <c r="J409" i="25"/>
  <c r="K409" i="25"/>
  <c r="D460" i="14"/>
  <c r="D430" i="14"/>
  <c r="C276" i="14"/>
  <c r="C103" i="14"/>
  <c r="D419" i="14" l="1"/>
  <c r="I101" i="14"/>
  <c r="I103" i="14"/>
  <c r="I104" i="14"/>
  <c r="I105" i="14"/>
  <c r="I106" i="14"/>
  <c r="I107" i="14"/>
  <c r="I110" i="14"/>
  <c r="I100" i="14"/>
  <c r="F100" i="14"/>
  <c r="F110" i="14"/>
  <c r="F107" i="14"/>
  <c r="F106" i="14"/>
  <c r="F104" i="14"/>
  <c r="F103" i="14"/>
  <c r="F101" i="14"/>
  <c r="C101" i="14"/>
  <c r="C104" i="14"/>
  <c r="C106" i="14"/>
  <c r="C107" i="14"/>
  <c r="C110" i="14"/>
  <c r="C100" i="14"/>
  <c r="C430" i="14"/>
  <c r="C429" i="14"/>
  <c r="C428" i="14"/>
  <c r="C420" i="14"/>
  <c r="C421" i="14"/>
  <c r="C423" i="14"/>
  <c r="C424" i="14"/>
  <c r="C425" i="14"/>
  <c r="C426" i="14"/>
  <c r="C417" i="14"/>
  <c r="C419" i="14" l="1"/>
  <c r="C85" i="14"/>
  <c r="D87" i="14"/>
  <c r="I397" i="25" l="1"/>
  <c r="E16" i="14" l="1"/>
  <c r="H16" i="14"/>
  <c r="K16" i="14"/>
  <c r="C270" i="14"/>
  <c r="C272" i="14"/>
  <c r="C273" i="14"/>
  <c r="C269" i="14"/>
  <c r="D370" i="14"/>
  <c r="D320" i="14"/>
  <c r="J37" i="14"/>
  <c r="D37" i="14"/>
  <c r="C479" i="14"/>
  <c r="C483" i="14"/>
  <c r="F142" i="14"/>
  <c r="I142" i="14"/>
  <c r="I135" i="14"/>
  <c r="F135" i="14"/>
  <c r="I134" i="14"/>
  <c r="F134" i="14"/>
  <c r="C277" i="14" l="1"/>
  <c r="J99" i="14" l="1"/>
  <c r="G99" i="14"/>
  <c r="D99" i="14"/>
  <c r="J90" i="14"/>
  <c r="G90" i="14"/>
  <c r="F90" i="14" s="1"/>
  <c r="D90" i="14"/>
  <c r="C386" i="14" l="1"/>
  <c r="I90" i="14"/>
  <c r="J94" i="14"/>
  <c r="F99" i="14"/>
  <c r="I99" i="14"/>
  <c r="C99" i="14"/>
  <c r="C90" i="14"/>
  <c r="D94" i="14"/>
  <c r="G94" i="14"/>
  <c r="C267" i="14"/>
  <c r="J74" i="14"/>
  <c r="G74" i="14"/>
  <c r="D74" i="14"/>
  <c r="B386" i="14" l="1"/>
  <c r="D78" i="14"/>
  <c r="D80" i="14"/>
  <c r="C80" i="14" s="1"/>
  <c r="G78" i="14"/>
  <c r="G80" i="14"/>
  <c r="F80" i="14" s="1"/>
  <c r="J78" i="14"/>
  <c r="J80" i="14"/>
  <c r="I80" i="14" s="1"/>
  <c r="B90" i="14"/>
  <c r="B99" i="14"/>
  <c r="F74" i="14"/>
  <c r="B267" i="14"/>
  <c r="I74" i="14"/>
  <c r="C74" i="14"/>
  <c r="C83" i="14"/>
  <c r="H388" i="25"/>
  <c r="H426" i="25" l="1"/>
  <c r="C87" i="14"/>
  <c r="B83" i="14"/>
  <c r="B74" i="14"/>
  <c r="C78" i="14"/>
  <c r="H351" i="25"/>
  <c r="K187" i="25"/>
  <c r="K191" i="25" s="1"/>
  <c r="J43" i="25"/>
  <c r="G64" i="14" s="1"/>
  <c r="I17" i="25"/>
  <c r="I35" i="25" s="1"/>
  <c r="I16" i="25"/>
  <c r="I34" i="25" s="1"/>
  <c r="J433" i="14" l="1"/>
  <c r="J411" i="14" s="1"/>
  <c r="H187" i="25"/>
  <c r="H191" i="25" s="1"/>
  <c r="K192" i="25"/>
  <c r="K329" i="25" s="1"/>
  <c r="K328" i="25" s="1"/>
  <c r="I137" i="25"/>
  <c r="G68" i="14"/>
  <c r="F64" i="14"/>
  <c r="F68" i="14" s="1"/>
  <c r="I433" i="14" l="1"/>
  <c r="B433" i="14" s="1"/>
  <c r="C246" i="14"/>
  <c r="H192" i="25"/>
  <c r="H329" i="25" s="1"/>
  <c r="F411" i="14"/>
  <c r="C239" i="14"/>
  <c r="C243" i="14" s="1"/>
  <c r="I307" i="25"/>
  <c r="I306" i="25" s="1"/>
  <c r="I136" i="25"/>
  <c r="D299" i="14"/>
  <c r="C302" i="14"/>
  <c r="C295" i="14"/>
  <c r="B239" i="14" l="1"/>
  <c r="C299" i="14"/>
  <c r="B295" i="14"/>
  <c r="H239" i="25"/>
  <c r="H237" i="25"/>
  <c r="H115" i="25" l="1"/>
  <c r="H17" i="25" l="1"/>
  <c r="H16" i="25"/>
  <c r="H15" i="25" l="1"/>
  <c r="I236" i="25"/>
  <c r="I272" i="25" s="1"/>
  <c r="I291" i="25" s="1"/>
  <c r="J236" i="25"/>
  <c r="J271" i="25" s="1"/>
  <c r="K236" i="25"/>
  <c r="I180" i="14"/>
  <c r="I181" i="14"/>
  <c r="I179" i="14"/>
  <c r="F180" i="14"/>
  <c r="F181" i="14"/>
  <c r="F179" i="14"/>
  <c r="J272" i="25" l="1"/>
  <c r="J291" i="25" s="1"/>
  <c r="C502" i="14"/>
  <c r="K272" i="25"/>
  <c r="K291" i="25" s="1"/>
  <c r="K271" i="25"/>
  <c r="E502" i="14"/>
  <c r="I396" i="25"/>
  <c r="I271" i="25"/>
  <c r="J175" i="14"/>
  <c r="J183" i="14" s="1"/>
  <c r="I183" i="14" s="1"/>
  <c r="J176" i="14"/>
  <c r="J184" i="14" s="1"/>
  <c r="I184" i="14" s="1"/>
  <c r="J177" i="14"/>
  <c r="J185" i="14" s="1"/>
  <c r="I185" i="14" s="1"/>
  <c r="G175" i="14"/>
  <c r="G183" i="14" s="1"/>
  <c r="F183" i="14" s="1"/>
  <c r="G176" i="14"/>
  <c r="G184" i="14" s="1"/>
  <c r="F184" i="14" s="1"/>
  <c r="G177" i="14"/>
  <c r="G185" i="14" s="1"/>
  <c r="F185" i="14" s="1"/>
  <c r="E506" i="14" l="1"/>
  <c r="E460" i="14"/>
  <c r="E13" i="14" s="1"/>
  <c r="I177" i="14"/>
  <c r="I175" i="14"/>
  <c r="F176" i="14"/>
  <c r="I176" i="14"/>
  <c r="F177" i="14"/>
  <c r="F175" i="14"/>
  <c r="J174" i="14" l="1"/>
  <c r="G174" i="14"/>
  <c r="G187" i="14" s="1"/>
  <c r="H76" i="25"/>
  <c r="H78" i="25"/>
  <c r="H74" i="25"/>
  <c r="I174" i="14" l="1"/>
  <c r="J187" i="14"/>
  <c r="H72" i="25"/>
  <c r="F187" i="14"/>
  <c r="F174" i="14"/>
  <c r="B174" i="14" s="1"/>
  <c r="I187" i="14"/>
  <c r="I92" i="14"/>
  <c r="I94" i="14" s="1"/>
  <c r="F92" i="14"/>
  <c r="F94" i="14" s="1"/>
  <c r="I76" i="14"/>
  <c r="I78" i="14" s="1"/>
  <c r="F76" i="14"/>
  <c r="F78" i="14" s="1"/>
  <c r="H362" i="25"/>
  <c r="I434" i="25"/>
  <c r="J434" i="25"/>
  <c r="K434" i="25"/>
  <c r="I424" i="25"/>
  <c r="J424" i="25"/>
  <c r="K424" i="25"/>
  <c r="I407" i="25"/>
  <c r="J407" i="25"/>
  <c r="K407" i="25"/>
  <c r="J397" i="25"/>
  <c r="K397" i="25"/>
  <c r="J341" i="25"/>
  <c r="K341" i="25"/>
  <c r="H350" i="25"/>
  <c r="H346" i="25"/>
  <c r="J356" i="25"/>
  <c r="K356" i="25"/>
  <c r="I356" i="25"/>
  <c r="H358" i="25"/>
  <c r="H424" i="25" s="1"/>
  <c r="H359" i="25"/>
  <c r="H434" i="25" s="1"/>
  <c r="H360" i="25"/>
  <c r="H361" i="25"/>
  <c r="H357" i="25"/>
  <c r="H347" i="25"/>
  <c r="H345" i="25" l="1"/>
  <c r="H397" i="25"/>
  <c r="H407" i="25"/>
  <c r="H356" i="25"/>
  <c r="H502" i="14"/>
  <c r="H506" i="14" l="1"/>
  <c r="H460" i="14"/>
  <c r="H13" i="14" s="1"/>
  <c r="H204" i="25"/>
  <c r="C151" i="14"/>
  <c r="C343" i="14" l="1"/>
  <c r="C342" i="14"/>
  <c r="C341" i="14"/>
  <c r="C339" i="14"/>
  <c r="C338" i="14"/>
  <c r="D345" i="14"/>
  <c r="C347" i="14" l="1"/>
  <c r="C337" i="14"/>
  <c r="C345" i="14" s="1"/>
  <c r="C346" i="14"/>
  <c r="C370" i="14" l="1"/>
  <c r="D346" i="14" l="1"/>
  <c r="C320" i="14" l="1"/>
  <c r="G145" i="14" l="1"/>
  <c r="F145" i="14" s="1"/>
  <c r="D145" i="14"/>
  <c r="C145" i="14" s="1"/>
  <c r="B145" i="14" l="1"/>
  <c r="J36" i="25"/>
  <c r="K411" i="14"/>
  <c r="J33" i="25" l="1"/>
  <c r="J127" i="25" s="1"/>
  <c r="J126" i="25" s="1"/>
  <c r="D148" i="14" l="1"/>
  <c r="D154" i="14" s="1"/>
  <c r="D153" i="14"/>
  <c r="C148" i="14" l="1"/>
  <c r="C154" i="14" s="1"/>
  <c r="C147" i="14"/>
  <c r="C153" i="14" s="1"/>
  <c r="C92" i="14"/>
  <c r="C94" i="14" s="1"/>
  <c r="I147" i="25" l="1"/>
  <c r="I146" i="25" s="1"/>
  <c r="J37" i="25"/>
  <c r="K37" i="25"/>
  <c r="I37" i="25"/>
  <c r="H42" i="25"/>
  <c r="C37" i="14"/>
  <c r="I458" i="25" l="1"/>
  <c r="J327" i="25"/>
  <c r="J454" i="25" s="1"/>
  <c r="K327" i="25"/>
  <c r="K454" i="25" s="1"/>
  <c r="J449" i="25"/>
  <c r="K324" i="25"/>
  <c r="K449" i="25" s="1"/>
  <c r="I327" i="25"/>
  <c r="I324" i="25"/>
  <c r="I449" i="25" s="1"/>
  <c r="K406" i="25"/>
  <c r="I406" i="25"/>
  <c r="H224" i="25"/>
  <c r="H233" i="25"/>
  <c r="H232" i="25"/>
  <c r="H212" i="25"/>
  <c r="K458" i="25"/>
  <c r="I312" i="25"/>
  <c r="I431" i="25" s="1"/>
  <c r="I318" i="25"/>
  <c r="I439" i="25" s="1"/>
  <c r="J290" i="25" l="1"/>
  <c r="J406" i="25"/>
  <c r="I301" i="25"/>
  <c r="I454" i="25"/>
  <c r="H327" i="25"/>
  <c r="H454" i="25" s="1"/>
  <c r="I36" i="25"/>
  <c r="I459" i="25" l="1"/>
  <c r="I457" i="25" s="1"/>
  <c r="I412" i="25"/>
  <c r="H324" i="25"/>
  <c r="H449" i="25" s="1"/>
  <c r="I404" i="25"/>
  <c r="C47" i="14"/>
  <c r="D57" i="14"/>
  <c r="C57" i="14" s="1"/>
  <c r="I145" i="25"/>
  <c r="I33" i="25"/>
  <c r="I127" i="25" l="1"/>
  <c r="I144" i="25"/>
  <c r="J147" i="25"/>
  <c r="I105" i="25"/>
  <c r="J105" i="25"/>
  <c r="K105" i="25"/>
  <c r="J101" i="25"/>
  <c r="K101" i="25"/>
  <c r="I101" i="25"/>
  <c r="J99" i="25"/>
  <c r="I99" i="25"/>
  <c r="H50" i="25"/>
  <c r="J103" i="25"/>
  <c r="K103" i="25"/>
  <c r="H41" i="25"/>
  <c r="H40" i="25"/>
  <c r="H39" i="25"/>
  <c r="H38" i="25"/>
  <c r="J146" i="25" l="1"/>
  <c r="J311" i="25"/>
  <c r="J310" i="25" s="1"/>
  <c r="I290" i="25"/>
  <c r="I126" i="25"/>
  <c r="I289" i="25" s="1"/>
  <c r="H101" i="25"/>
  <c r="H105" i="25"/>
  <c r="I103" i="25"/>
  <c r="H103" i="25" s="1"/>
  <c r="I135" i="25"/>
  <c r="H37" i="25"/>
  <c r="K147" i="25"/>
  <c r="K146" i="25" s="1"/>
  <c r="I422" i="25" l="1"/>
  <c r="I421" i="25" s="1"/>
  <c r="H61" i="25"/>
  <c r="H60" i="25"/>
  <c r="K36" i="25"/>
  <c r="H28" i="25"/>
  <c r="K18" i="25"/>
  <c r="J35" i="14" s="1"/>
  <c r="J18" i="25"/>
  <c r="G35" i="14" s="1"/>
  <c r="I18" i="25"/>
  <c r="D35" i="14" s="1"/>
  <c r="D41" i="14" s="1"/>
  <c r="H20" i="25"/>
  <c r="H35" i="25" s="1"/>
  <c r="H19" i="25"/>
  <c r="H34" i="25" s="1"/>
  <c r="H33" i="25" l="1"/>
  <c r="J41" i="14"/>
  <c r="I41" i="14" s="1"/>
  <c r="H118" i="25"/>
  <c r="G39" i="14"/>
  <c r="F39" i="14" s="1"/>
  <c r="G41" i="14"/>
  <c r="F41" i="14" s="1"/>
  <c r="H36" i="25"/>
  <c r="G129" i="14"/>
  <c r="C44" i="14"/>
  <c r="B44" i="14" s="1"/>
  <c r="C60" i="14"/>
  <c r="D39" i="14"/>
  <c r="C39" i="14" s="1"/>
  <c r="C41" i="14"/>
  <c r="C35" i="14"/>
  <c r="F35" i="14"/>
  <c r="I35" i="14"/>
  <c r="J39" i="14"/>
  <c r="I39" i="14" s="1"/>
  <c r="B415" i="14"/>
  <c r="B411" i="14" s="1"/>
  <c r="C46" i="14"/>
  <c r="D56" i="14"/>
  <c r="C56" i="14" s="1"/>
  <c r="H18" i="25"/>
  <c r="G138" i="14" l="1"/>
  <c r="F138" i="14" s="1"/>
  <c r="G139" i="14"/>
  <c r="F139" i="14" s="1"/>
  <c r="F129" i="14"/>
  <c r="B35" i="14"/>
  <c r="C45" i="14"/>
  <c r="C55" i="14"/>
  <c r="I399" i="25"/>
  <c r="H433" i="25"/>
  <c r="H379" i="25"/>
  <c r="H432" i="25" s="1"/>
  <c r="I365" i="25"/>
  <c r="H370" i="25"/>
  <c r="I303" i="25" l="1"/>
  <c r="I416" i="25" l="1"/>
  <c r="I415" i="25" s="1"/>
  <c r="I302" i="25"/>
  <c r="H71" i="25"/>
  <c r="H229" i="25"/>
  <c r="H209" i="25"/>
  <c r="H168" i="25"/>
  <c r="H160" i="25"/>
  <c r="I43" i="25"/>
  <c r="H48" i="25"/>
  <c r="H108" i="25" s="1"/>
  <c r="H107" i="25" s="1"/>
  <c r="H62" i="25"/>
  <c r="H59" i="25" s="1"/>
  <c r="I12" i="25"/>
  <c r="J12" i="25"/>
  <c r="H349" i="25"/>
  <c r="H343" i="25"/>
  <c r="H47" i="25"/>
  <c r="H280" i="25" l="1"/>
  <c r="H184" i="25"/>
  <c r="C336" i="14"/>
  <c r="C349" i="14"/>
  <c r="D64" i="14"/>
  <c r="J431" i="25"/>
  <c r="K311" i="25"/>
  <c r="I311" i="25"/>
  <c r="I310" i="25" s="1"/>
  <c r="K312" i="25"/>
  <c r="K431" i="25" s="1"/>
  <c r="J157" i="25"/>
  <c r="G327" i="14" s="1"/>
  <c r="G333" i="14" s="1"/>
  <c r="K165" i="25"/>
  <c r="J352" i="14" s="1"/>
  <c r="K157" i="25"/>
  <c r="J327" i="14" s="1"/>
  <c r="J165" i="25"/>
  <c r="G352" i="14" s="1"/>
  <c r="J129" i="14"/>
  <c r="J15" i="25"/>
  <c r="F352" i="14" l="1"/>
  <c r="G365" i="14"/>
  <c r="F365" i="14" s="1"/>
  <c r="I352" i="14"/>
  <c r="J365" i="14"/>
  <c r="I365" i="14" s="1"/>
  <c r="J333" i="14"/>
  <c r="I333" i="14" s="1"/>
  <c r="J331" i="14"/>
  <c r="I331" i="14" s="1"/>
  <c r="I327" i="14"/>
  <c r="G331" i="14"/>
  <c r="F331" i="14" s="1"/>
  <c r="F333" i="14"/>
  <c r="F327" i="14"/>
  <c r="G25" i="14"/>
  <c r="H147" i="25"/>
  <c r="H146" i="25" s="1"/>
  <c r="K310" i="25"/>
  <c r="H312" i="25"/>
  <c r="H431" i="25" s="1"/>
  <c r="K430" i="25"/>
  <c r="K429" i="25" s="1"/>
  <c r="D324" i="14"/>
  <c r="C324" i="14" s="1"/>
  <c r="I395" i="25"/>
  <c r="C318" i="14"/>
  <c r="C322" i="14" s="1"/>
  <c r="D322" i="14"/>
  <c r="D68" i="14"/>
  <c r="D71" i="14"/>
  <c r="C71" i="14" s="1"/>
  <c r="G71" i="14"/>
  <c r="F71" i="14" s="1"/>
  <c r="C64" i="14"/>
  <c r="C68" i="14" s="1"/>
  <c r="J139" i="14"/>
  <c r="I139" i="14" s="1"/>
  <c r="I129" i="14"/>
  <c r="B129" i="14" s="1"/>
  <c r="J138" i="14"/>
  <c r="I138" i="14" s="1"/>
  <c r="J430" i="25"/>
  <c r="J429" i="25" s="1"/>
  <c r="I430" i="25"/>
  <c r="I429" i="25" s="1"/>
  <c r="K33" i="25"/>
  <c r="H69" i="25"/>
  <c r="H66" i="25" s="1"/>
  <c r="B327" i="14" l="1"/>
  <c r="B352" i="14"/>
  <c r="F25" i="14"/>
  <c r="G29" i="14"/>
  <c r="K127" i="25"/>
  <c r="H311" i="25"/>
  <c r="H310" i="25" s="1"/>
  <c r="B336" i="14"/>
  <c r="H45" i="25"/>
  <c r="K290" i="25" l="1"/>
  <c r="K126" i="25"/>
  <c r="B318" i="14"/>
  <c r="F29" i="14"/>
  <c r="H430" i="25"/>
  <c r="H429" i="25" s="1"/>
  <c r="H44" i="25"/>
  <c r="K43" i="25"/>
  <c r="H100" i="25" l="1"/>
  <c r="H131" i="25" s="1"/>
  <c r="H297" i="25" s="1"/>
  <c r="J64" i="14"/>
  <c r="J71" i="14" s="1"/>
  <c r="I71" i="14" s="1"/>
  <c r="C466" i="14"/>
  <c r="D347" i="14"/>
  <c r="H405" i="25" l="1"/>
  <c r="J68" i="14"/>
  <c r="I64" i="14"/>
  <c r="I68" i="14" s="1"/>
  <c r="H46" i="25"/>
  <c r="H104" i="25" l="1"/>
  <c r="B64" i="14"/>
  <c r="H43" i="25"/>
  <c r="J133" i="25"/>
  <c r="J404" i="25" l="1"/>
  <c r="J300" i="25"/>
  <c r="J411" i="25" s="1"/>
  <c r="H52" i="25"/>
  <c r="J139" i="25"/>
  <c r="J317" i="25" s="1"/>
  <c r="J438" i="25" s="1"/>
  <c r="H106" i="25" l="1"/>
  <c r="H137" i="25" s="1"/>
  <c r="J396" i="25"/>
  <c r="J172" i="25"/>
  <c r="J177" i="25" l="1"/>
  <c r="J289" i="25" s="1"/>
  <c r="G377" i="14"/>
  <c r="H136" i="25"/>
  <c r="H51" i="25"/>
  <c r="H95" i="25" s="1"/>
  <c r="H94" i="25" s="1"/>
  <c r="I133" i="25"/>
  <c r="G381" i="14" l="1"/>
  <c r="F381" i="14" s="1"/>
  <c r="G383" i="14"/>
  <c r="F383" i="14" s="1"/>
  <c r="F377" i="14"/>
  <c r="G314" i="14"/>
  <c r="H102" i="25"/>
  <c r="I300" i="25"/>
  <c r="I411" i="25" s="1"/>
  <c r="I410" i="25" s="1"/>
  <c r="F314" i="14" l="1"/>
  <c r="G19" i="14"/>
  <c r="J335" i="25"/>
  <c r="G21" i="14" l="1"/>
  <c r="H342" i="25" l="1"/>
  <c r="H371" i="25" l="1"/>
  <c r="H226" i="25"/>
  <c r="H275" i="25" s="1"/>
  <c r="H364" i="25" l="1"/>
  <c r="K363" i="25"/>
  <c r="J363" i="25"/>
  <c r="I363" i="25"/>
  <c r="H236" i="25" l="1"/>
  <c r="H363" i="25"/>
  <c r="H14" i="25"/>
  <c r="B502" i="14" l="1"/>
  <c r="I394" i="25"/>
  <c r="C314" i="14" l="1"/>
  <c r="E468" i="14"/>
  <c r="C468" i="14" s="1"/>
  <c r="C374" i="14"/>
  <c r="D372" i="14"/>
  <c r="C372" i="14" s="1"/>
  <c r="C464" i="14"/>
  <c r="K13" i="14" l="1"/>
  <c r="B464" i="14" l="1"/>
  <c r="I411" i="14" l="1"/>
  <c r="F19" i="14" l="1"/>
  <c r="K335" i="25" l="1"/>
  <c r="H338" i="25"/>
  <c r="H339" i="25"/>
  <c r="H340" i="25"/>
  <c r="H336" i="25"/>
  <c r="H368" i="25" l="1"/>
  <c r="H369" i="25"/>
  <c r="H367" i="25"/>
  <c r="J423" i="25"/>
  <c r="K308" i="25"/>
  <c r="K423" i="25" s="1"/>
  <c r="H202" i="25"/>
  <c r="H286" i="25" l="1"/>
  <c r="H330" i="25" s="1"/>
  <c r="H366" i="25"/>
  <c r="H365" i="25" s="1"/>
  <c r="K396" i="25"/>
  <c r="H337" i="25"/>
  <c r="K172" i="25"/>
  <c r="K141" i="25"/>
  <c r="I326" i="25"/>
  <c r="K177" i="25" l="1"/>
  <c r="J377" i="14"/>
  <c r="H328" i="25"/>
  <c r="H335" i="25"/>
  <c r="I325" i="25"/>
  <c r="J141" i="25"/>
  <c r="J132" i="25"/>
  <c r="K140" i="25"/>
  <c r="K320" i="25"/>
  <c r="K443" i="25" s="1"/>
  <c r="J140" i="25" l="1"/>
  <c r="J320" i="25"/>
  <c r="J381" i="14"/>
  <c r="I381" i="14" s="1"/>
  <c r="I377" i="14"/>
  <c r="B377" i="14" s="1"/>
  <c r="B314" i="14" s="1"/>
  <c r="J383" i="14"/>
  <c r="I383" i="14" s="1"/>
  <c r="J314" i="14"/>
  <c r="I314" i="14" s="1"/>
  <c r="J458" i="25"/>
  <c r="J365" i="25"/>
  <c r="K365" i="25"/>
  <c r="H174" i="25"/>
  <c r="H181" i="25" s="1"/>
  <c r="H173" i="25"/>
  <c r="H179" i="25" s="1"/>
  <c r="H159" i="25"/>
  <c r="J443" i="25" l="1"/>
  <c r="H157" i="25"/>
  <c r="H172" i="25"/>
  <c r="I15" i="25"/>
  <c r="K15" i="25"/>
  <c r="J145" i="25"/>
  <c r="J143" i="25"/>
  <c r="H355" i="25"/>
  <c r="H401" i="25" s="1"/>
  <c r="H427" i="25" s="1"/>
  <c r="H354" i="25"/>
  <c r="H353" i="25"/>
  <c r="H352" i="25"/>
  <c r="K321" i="25"/>
  <c r="K318" i="25"/>
  <c r="K439" i="25" s="1"/>
  <c r="K304" i="25"/>
  <c r="K417" i="25" s="1"/>
  <c r="K301" i="25"/>
  <c r="K412" i="25" s="1"/>
  <c r="J301" i="25"/>
  <c r="J412" i="25" s="1"/>
  <c r="J410" i="25" s="1"/>
  <c r="H231" i="25"/>
  <c r="H283" i="25" s="1"/>
  <c r="H321" i="25" s="1"/>
  <c r="H230" i="25"/>
  <c r="H282" i="25" s="1"/>
  <c r="H228" i="25"/>
  <c r="H227" i="25"/>
  <c r="H276" i="25" s="1"/>
  <c r="H225" i="25"/>
  <c r="H211" i="25"/>
  <c r="H210" i="25"/>
  <c r="H208" i="25"/>
  <c r="H207" i="25"/>
  <c r="H206" i="25"/>
  <c r="H205" i="25"/>
  <c r="K12" i="25"/>
  <c r="J19" i="14" s="1"/>
  <c r="I6" i="25"/>
  <c r="H223" i="25" l="1"/>
  <c r="H234" i="25"/>
  <c r="H278" i="25"/>
  <c r="H274" i="25"/>
  <c r="J25" i="14"/>
  <c r="H201" i="25"/>
  <c r="D25" i="14"/>
  <c r="D16" i="14" s="1"/>
  <c r="D13" i="14" s="1"/>
  <c r="H341" i="25"/>
  <c r="I19" i="14"/>
  <c r="J318" i="25"/>
  <c r="J321" i="25"/>
  <c r="J326" i="25"/>
  <c r="J144" i="25"/>
  <c r="J323" i="25"/>
  <c r="J142" i="25"/>
  <c r="J304" i="25"/>
  <c r="J417" i="25" s="1"/>
  <c r="H13" i="25"/>
  <c r="I143" i="25"/>
  <c r="K319" i="25"/>
  <c r="K444" i="25"/>
  <c r="K442" i="25" s="1"/>
  <c r="I141" i="25"/>
  <c r="I139" i="25"/>
  <c r="J399" i="25"/>
  <c r="H166" i="25"/>
  <c r="K143" i="25"/>
  <c r="K145" i="25"/>
  <c r="K144" i="25" s="1"/>
  <c r="H382" i="25"/>
  <c r="H391" i="25"/>
  <c r="H446" i="25" s="1"/>
  <c r="J444" i="25" l="1"/>
  <c r="J442" i="25" s="1"/>
  <c r="J319" i="25"/>
  <c r="J16" i="14"/>
  <c r="I16" i="14" s="1"/>
  <c r="H271" i="25"/>
  <c r="H272" i="25"/>
  <c r="H291" i="25" s="1"/>
  <c r="J29" i="14"/>
  <c r="I25" i="14"/>
  <c r="J32" i="14"/>
  <c r="I32" i="14" s="1"/>
  <c r="H182" i="25"/>
  <c r="H298" i="25"/>
  <c r="H308" i="25"/>
  <c r="H423" i="25" s="1"/>
  <c r="K459" i="25"/>
  <c r="K457" i="25" s="1"/>
  <c r="H127" i="25"/>
  <c r="H126" i="25" s="1"/>
  <c r="H444" i="25"/>
  <c r="H318" i="25"/>
  <c r="H439" i="25" s="1"/>
  <c r="H304" i="25"/>
  <c r="H417" i="25" s="1"/>
  <c r="J439" i="25"/>
  <c r="J437" i="25" s="1"/>
  <c r="I323" i="25"/>
  <c r="D29" i="14"/>
  <c r="D32" i="14"/>
  <c r="C32" i="14" s="1"/>
  <c r="G32" i="14"/>
  <c r="F32" i="14" s="1"/>
  <c r="C25" i="14"/>
  <c r="C16" i="14" s="1"/>
  <c r="H459" i="25"/>
  <c r="J448" i="25"/>
  <c r="J447" i="25" s="1"/>
  <c r="J322" i="25"/>
  <c r="J453" i="25"/>
  <c r="J452" i="25" s="1"/>
  <c r="J325" i="25"/>
  <c r="H301" i="25"/>
  <c r="H12" i="25"/>
  <c r="K323" i="25"/>
  <c r="K322" i="25" s="1"/>
  <c r="K142" i="25"/>
  <c r="I142" i="25"/>
  <c r="K99" i="25"/>
  <c r="K326" i="25"/>
  <c r="K325" i="25" s="1"/>
  <c r="H377" i="25"/>
  <c r="H440" i="25" s="1"/>
  <c r="I317" i="25"/>
  <c r="H458" i="25"/>
  <c r="I444" i="25"/>
  <c r="J395" i="25"/>
  <c r="J299" i="25"/>
  <c r="J296" i="25"/>
  <c r="J459" i="25"/>
  <c r="J457" i="25" s="1"/>
  <c r="D19" i="14"/>
  <c r="J398" i="25"/>
  <c r="H385" i="25"/>
  <c r="J138" i="25"/>
  <c r="I140" i="25"/>
  <c r="I320" i="25"/>
  <c r="I138" i="25"/>
  <c r="J135" i="25"/>
  <c r="H139" i="25"/>
  <c r="K139" i="25"/>
  <c r="K317" i="25" s="1"/>
  <c r="K438" i="25" s="1"/>
  <c r="K437" i="25" s="1"/>
  <c r="H141" i="25"/>
  <c r="H145" i="25"/>
  <c r="K399" i="25"/>
  <c r="H383" i="25"/>
  <c r="H376" i="25"/>
  <c r="H374" i="25"/>
  <c r="H381" i="25"/>
  <c r="H378" i="25"/>
  <c r="H445" i="25" s="1"/>
  <c r="H375" i="25"/>
  <c r="H418" i="25" s="1"/>
  <c r="H387" i="25"/>
  <c r="H419" i="25" s="1"/>
  <c r="H386" i="25"/>
  <c r="H414" i="25" s="1"/>
  <c r="I443" i="25" l="1"/>
  <c r="I442" i="25" s="1"/>
  <c r="I319" i="25"/>
  <c r="H99" i="25"/>
  <c r="H396" i="25"/>
  <c r="B16" i="14"/>
  <c r="I29" i="14"/>
  <c r="H406" i="25"/>
  <c r="H296" i="25"/>
  <c r="H457" i="25"/>
  <c r="H320" i="25"/>
  <c r="H319" i="25" s="1"/>
  <c r="H317" i="25"/>
  <c r="H438" i="25" s="1"/>
  <c r="I322" i="25"/>
  <c r="H413" i="25"/>
  <c r="J303" i="25"/>
  <c r="H455" i="25"/>
  <c r="H408" i="25"/>
  <c r="H409" i="25"/>
  <c r="H425" i="25"/>
  <c r="H412" i="25"/>
  <c r="C29" i="14"/>
  <c r="B25" i="14"/>
  <c r="I316" i="25"/>
  <c r="I438" i="25"/>
  <c r="I437" i="25" s="1"/>
  <c r="D21" i="14"/>
  <c r="H144" i="25"/>
  <c r="K448" i="25"/>
  <c r="K447" i="25" s="1"/>
  <c r="J307" i="25"/>
  <c r="I448" i="25"/>
  <c r="I447" i="25" s="1"/>
  <c r="J136" i="25"/>
  <c r="K453" i="25"/>
  <c r="K452" i="25" s="1"/>
  <c r="H143" i="25"/>
  <c r="K316" i="25"/>
  <c r="C19" i="14"/>
  <c r="B19" i="14" s="1"/>
  <c r="J316" i="25"/>
  <c r="K372" i="25"/>
  <c r="K398" i="25" s="1"/>
  <c r="H138" i="25"/>
  <c r="I134" i="25"/>
  <c r="J130" i="25"/>
  <c r="H140" i="25"/>
  <c r="I130" i="25"/>
  <c r="I132" i="25"/>
  <c r="J134" i="25"/>
  <c r="K138" i="25"/>
  <c r="K137" i="25"/>
  <c r="K133" i="25"/>
  <c r="H133" i="25"/>
  <c r="H380" i="25"/>
  <c r="H450" i="25" s="1"/>
  <c r="H316" i="25" l="1"/>
  <c r="H443" i="25"/>
  <c r="H442" i="25" s="1"/>
  <c r="J422" i="25"/>
  <c r="J421" i="25" s="1"/>
  <c r="J306" i="25"/>
  <c r="H142" i="25"/>
  <c r="J416" i="25"/>
  <c r="J415" i="25" s="1"/>
  <c r="J302" i="25"/>
  <c r="H372" i="25"/>
  <c r="H398" i="25" s="1"/>
  <c r="H307" i="25"/>
  <c r="H306" i="25" s="1"/>
  <c r="H300" i="25"/>
  <c r="H323" i="25"/>
  <c r="H448" i="25" s="1"/>
  <c r="H447" i="25" s="1"/>
  <c r="K300" i="25"/>
  <c r="K411" i="25" s="1"/>
  <c r="K410" i="25" s="1"/>
  <c r="K307" i="25"/>
  <c r="I299" i="25"/>
  <c r="N289" i="25" s="1"/>
  <c r="C21" i="14"/>
  <c r="K289" i="25"/>
  <c r="K132" i="25"/>
  <c r="K136" i="25"/>
  <c r="K130" i="25"/>
  <c r="H132" i="25"/>
  <c r="K135" i="25"/>
  <c r="K303" i="25" s="1"/>
  <c r="O289" i="25" l="1"/>
  <c r="K416" i="25"/>
  <c r="K415" i="25" s="1"/>
  <c r="K302" i="25"/>
  <c r="K405" i="25"/>
  <c r="K404" i="25" s="1"/>
  <c r="K422" i="25"/>
  <c r="K421" i="25" s="1"/>
  <c r="K306" i="25"/>
  <c r="K394" i="25"/>
  <c r="K395" i="25"/>
  <c r="H299" i="25"/>
  <c r="H411" i="25"/>
  <c r="H410" i="25" s="1"/>
  <c r="H422" i="25"/>
  <c r="H421" i="25" s="1"/>
  <c r="K296" i="25"/>
  <c r="J394" i="25"/>
  <c r="K299" i="25"/>
  <c r="H130" i="25"/>
  <c r="K134" i="25"/>
  <c r="H135" i="25"/>
  <c r="G460" i="14"/>
  <c r="G13" i="14" s="1"/>
  <c r="J460" i="14"/>
  <c r="P289" i="25" l="1"/>
  <c r="H404" i="25"/>
  <c r="H303" i="25"/>
  <c r="H416" i="25" s="1"/>
  <c r="H415" i="25" s="1"/>
  <c r="I460" i="14"/>
  <c r="I13" i="14" s="1"/>
  <c r="J13" i="14"/>
  <c r="F460" i="14"/>
  <c r="H134" i="25"/>
  <c r="H302" i="25" l="1"/>
  <c r="C478" i="14"/>
  <c r="B478" i="14" l="1"/>
  <c r="C460" i="14"/>
  <c r="C13" i="14" s="1"/>
  <c r="H167" i="25"/>
  <c r="B460" i="14" l="1"/>
  <c r="B13" i="14" s="1"/>
  <c r="H183" i="25"/>
  <c r="H178" i="25"/>
  <c r="H165" i="25"/>
  <c r="H290" i="25" l="1"/>
  <c r="H395" i="25" s="1"/>
  <c r="H177" i="25"/>
  <c r="H289" i="25" s="1"/>
  <c r="H322" i="25"/>
  <c r="H326" i="25"/>
  <c r="I453" i="25"/>
  <c r="I452" i="25" s="1"/>
  <c r="H325" i="25" l="1"/>
  <c r="H453" i="25"/>
  <c r="H452" i="25" s="1"/>
  <c r="H390" i="25" l="1"/>
  <c r="H384" i="25" s="1"/>
  <c r="H441" i="25" l="1"/>
  <c r="H394" i="25"/>
  <c r="H437" i="25" l="1"/>
  <c r="H399" i="25"/>
</calcChain>
</file>

<file path=xl/sharedStrings.xml><?xml version="1.0" encoding="utf-8"?>
<sst xmlns="http://schemas.openxmlformats.org/spreadsheetml/2006/main" count="1624" uniqueCount="572">
  <si>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</si>
  <si>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</si>
  <si>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</si>
  <si>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</si>
  <si>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</si>
  <si>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</si>
  <si>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</si>
  <si>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</si>
  <si>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</si>
  <si>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</si>
  <si>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</si>
  <si>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</si>
  <si>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</si>
  <si>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</si>
  <si>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</si>
  <si>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</si>
  <si>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</si>
  <si>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</si>
  <si>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</si>
  <si>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</si>
  <si>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</si>
  <si>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</si>
  <si>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</si>
  <si>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</si>
  <si>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</si>
  <si>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</si>
  <si>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</si>
  <si>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</si>
  <si>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</si>
  <si>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</si>
  <si>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</si>
  <si>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</si>
  <si>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</si>
  <si>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</si>
  <si>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</si>
  <si>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</si>
  <si>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</si>
  <si>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</si>
  <si>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</si>
  <si>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</si>
  <si>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</si>
  <si>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Контроль за виконанням</t>
  </si>
  <si>
    <t>Раннє виявлення туберкульозу у дітей та підлітків</t>
  </si>
  <si>
    <t>Одержувач коштів/Виконавець</t>
  </si>
  <si>
    <t>КПКВК</t>
  </si>
  <si>
    <t>Покращення умов перебування пацієнтів та працівників у закладі охорони здоров'я</t>
  </si>
  <si>
    <t>УСЬОГО по підпрограмі 1</t>
  </si>
  <si>
    <t>УСЬОГО по підпрограмі 2</t>
  </si>
  <si>
    <t>0717361</t>
  </si>
  <si>
    <t>УСЬОГО по підпрограмі 3</t>
  </si>
  <si>
    <t>УСЬОГО по підпрограмі 4</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</si>
  <si>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</si>
  <si>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</si>
  <si>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</si>
  <si>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</si>
  <si>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</si>
  <si>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</si>
  <si>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</si>
  <si>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</si>
  <si>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</si>
  <si>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</si>
  <si>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</si>
  <si>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</si>
  <si>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РАЗОМ по сфері охорона здоров'я</t>
  </si>
  <si>
    <t>ВСЬОГО</t>
  </si>
  <si>
    <t>Власні надходження КНП</t>
  </si>
  <si>
    <t xml:space="preserve">з них по </t>
  </si>
  <si>
    <t>РАЗОМ</t>
  </si>
  <si>
    <t>Разом</t>
  </si>
  <si>
    <t>РАЗОМ ПО ПРОГРАМІ</t>
  </si>
  <si>
    <t>Кошти ДФРР (спеціальний фонд)</t>
  </si>
  <si>
    <t>Збільшення переліку послуг, що надають заклади охорони здоров'я</t>
  </si>
  <si>
    <t>Мета, КПКВК, завдання та результативні показники Програми</t>
  </si>
  <si>
    <t>в тому числі</t>
  </si>
  <si>
    <t>Загальний фонд</t>
  </si>
  <si>
    <t>Спеціальний фонд</t>
  </si>
  <si>
    <t xml:space="preserve">Мета: </t>
  </si>
  <si>
    <t>Показник затрат:</t>
  </si>
  <si>
    <t>кількість  установ, од.</t>
  </si>
  <si>
    <t>Показник продукту:</t>
  </si>
  <si>
    <t>Показник ефективності:</t>
  </si>
  <si>
    <t>Показник якості:</t>
  </si>
  <si>
    <t>КПКВК 0712111</t>
  </si>
  <si>
    <t>Первинна медична допомога населенню, що надається центрами первинної медичної (медико-санітарної) допомоги</t>
  </si>
  <si>
    <t>кількість осіб, яким встановлені/будуть встановлені до кінця року слухові апарати</t>
  </si>
  <si>
    <t>Розвиток первинної медико-санітарної допомоги</t>
  </si>
  <si>
    <t>ПІДПРОГРАМА 2.  Забезпечення соціальних стандартів у сфері охорони здоров'я</t>
  </si>
  <si>
    <t>Інші заклади</t>
  </si>
  <si>
    <t>1.1.</t>
  </si>
  <si>
    <t xml:space="preserve">1.1.1. Сприяння в утриманні закладів первинного рівня  </t>
  </si>
  <si>
    <t xml:space="preserve">1.2.1. Забезпечення надання вторинної медичної допомоги </t>
  </si>
  <si>
    <t>2.1.</t>
  </si>
  <si>
    <t>1.2.</t>
  </si>
  <si>
    <t>1.3.</t>
  </si>
  <si>
    <t>1.4.</t>
  </si>
  <si>
    <t>3.1.</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</si>
  <si>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</si>
  <si>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</si>
  <si>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</si>
  <si>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Видатки галузі, які враховані в інших цільових програмах та інші джерела фінансування </t>
  </si>
  <si>
    <t>1.</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</si>
  <si>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</si>
  <si>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</si>
  <si>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</si>
  <si>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</si>
  <si>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ПІДПРОГРАМА 1.  Покращення надання медичної допомоги населенню</t>
  </si>
  <si>
    <t>Всього по напряму 1.1. , у тому числі:</t>
  </si>
  <si>
    <t xml:space="preserve">Збереження стоматологічного здоров'я населення </t>
  </si>
  <si>
    <t>Всього по напряму 1.2, у тому числі</t>
  </si>
  <si>
    <t>В розрізі КНП</t>
  </si>
  <si>
    <t>2.</t>
  </si>
  <si>
    <t>3.</t>
  </si>
  <si>
    <t>4.</t>
  </si>
  <si>
    <t>5.</t>
  </si>
  <si>
    <t xml:space="preserve">Сприяння в утриманні закладів первинного рівня  </t>
  </si>
  <si>
    <t xml:space="preserve">Показник ефективності: </t>
  </si>
  <si>
    <t xml:space="preserve">Показник продукту: </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</si>
  <si>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</si>
  <si>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</si>
  <si>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</si>
  <si>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</si>
  <si>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</si>
  <si>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</si>
  <si>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Разом по заходу 4.1.1.</t>
  </si>
  <si>
    <t>Разом по заходу 4.1.2.</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</si>
  <si>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</si>
  <si>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</si>
  <si>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t>Інші джерела коштів (кредитні кошти НЕФКО)</t>
  </si>
  <si>
    <t>ПІДПРОГРАМА 3. Інші заходи та заклади у сфері охорони здоров'я</t>
  </si>
  <si>
    <t>ПІДПРОГРАМА 3.  Інші заходи та заклади у сфері охорони здоров'я</t>
  </si>
  <si>
    <t>Субвенція з державного бюджету місцевим бюджетам (спеціальний фонд)</t>
  </si>
  <si>
    <t>Управління охорони здоров’я СМР</t>
  </si>
  <si>
    <t>Управління охорони здоров’я Сумської міської ради</t>
  </si>
  <si>
    <t>Управління охорони здоров'я Сумської міської ради</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</si>
  <si>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</si>
  <si>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</si>
  <si>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Кошти бюджету ТГ (загальний фонд)</t>
  </si>
  <si>
    <t>КНП "Клінічна лікарня Святого Пантлеймона" СМР</t>
  </si>
  <si>
    <t>Придбання судинних протезів для проведення органозберігаючих реконструктивних операцій на артеріях у пацієнтів з критичним порушенням артеріального кровообігу кінцівок та мозкового кровообігу</t>
  </si>
  <si>
    <t>Кошти бюджету ТГ (спеціальний фонд)</t>
  </si>
  <si>
    <t>Забезпечення гарантованого рівня медичної допомоги населенню Сумської міської ТГ</t>
  </si>
  <si>
    <t>1.2.1. Покриття вартості комунальних послуг та енергоносіїв</t>
  </si>
  <si>
    <t>Напрями діяльності (пріоритетні завдання) та заходи комплексної Програми Cумської міської територіальної  громади "Охорона здоров'я" на 2022-2024 роки"</t>
  </si>
  <si>
    <t>Разом по заходу 4.1.3.</t>
  </si>
  <si>
    <t>у т. ч. по роках</t>
  </si>
  <si>
    <t>2022 (план)</t>
  </si>
  <si>
    <t>2023 (план)</t>
  </si>
  <si>
    <t>2024 (план)</t>
  </si>
  <si>
    <t>Кошти бюджету СМТГ (загальний фонд)</t>
  </si>
  <si>
    <t xml:space="preserve">Кошти бюджету СМТГ (загальний фонд) </t>
  </si>
  <si>
    <t>Кошти  бюджету СМТГ (загальний фонд)</t>
  </si>
  <si>
    <t>Кошти бюджету СМТГ (спеціальний фонд)</t>
  </si>
  <si>
    <t>1.1.1. Покриття вартості комунальних послуг та енергоносіїв</t>
  </si>
  <si>
    <t>1.2.2. Сприяння забезпеченню надання антирабічної допомоги</t>
  </si>
  <si>
    <t>2022 рік (план)</t>
  </si>
  <si>
    <t>2023 рік (план)</t>
  </si>
  <si>
    <t>2024рік (план)</t>
  </si>
  <si>
    <t>у тому числі по:</t>
  </si>
  <si>
    <t>з них по:</t>
  </si>
  <si>
    <t>у тому числі:</t>
  </si>
  <si>
    <t xml:space="preserve">Показник затрат: </t>
  </si>
  <si>
    <t>обсяг видатків, грн.</t>
  </si>
  <si>
    <t>кількість дітей   віком від 0-2 років з малозабезпечених  сімей, осіб</t>
  </si>
  <si>
    <t>кількість дітей, народжених від ВІЛ-інфікованих матерів, осіб</t>
  </si>
  <si>
    <t>рівень охоплення, %</t>
  </si>
  <si>
    <t xml:space="preserve">Обсяг видатків, грн. </t>
  </si>
  <si>
    <t>кількість установ, од.</t>
  </si>
  <si>
    <t>кількість лікарських відвідувань, од.</t>
  </si>
  <si>
    <t>капітальний ремонт приміщень</t>
  </si>
  <si>
    <t xml:space="preserve">благоустрій території </t>
  </si>
  <si>
    <t xml:space="preserve">Результативні показники виконання завдань комплексної  Програми Cумської міської територіальної  громади "Охорона здоров'я" на 2022-2024 роки"
</t>
  </si>
  <si>
    <t>кількість штатних одиниць, од.</t>
  </si>
  <si>
    <t>кількість лікарських відвідувань,осіб</t>
  </si>
  <si>
    <t>1.1.2. Сприяння забезпеченню проведення туберкулінодіагностики (закупівля туберкуліну)</t>
  </si>
  <si>
    <t>витрати на одного пацієнта, грн</t>
  </si>
  <si>
    <t>чисельність осіб, яким проведена  санація, од.</t>
  </si>
  <si>
    <t>динамика обсягу витрат на забезпечення поккриття вартості дороговартістних медичних препаратів до попереднього року, %</t>
  </si>
  <si>
    <t>кількість установ:</t>
  </si>
  <si>
    <t>Мета програми: поліпшення фінансового забезпечення закладів охорони здоров'я  для  збереження і відновлення здоров’я населення шляхом надання медичних послуг та лікарських засобів належної якості</t>
  </si>
  <si>
    <t>1.1.2. Сприяння забезпеченню проведення туберкулінодіагностики (закупівля туберкуліну), КПКВК 0712152</t>
  </si>
  <si>
    <t xml:space="preserve"> 1.1.  Розвиток первинної медико-санітарної допомоги</t>
  </si>
  <si>
    <t>рівень забезпечення, %</t>
  </si>
  <si>
    <t>рівень забезпечення видатками, %</t>
  </si>
  <si>
    <t>динаміка забезпечення надання антирабічної допомоги порівняно до попереднього року, %</t>
  </si>
  <si>
    <t>кількість лікарських відвідувань на одну штатну посаду лікаря, осіб</t>
  </si>
  <si>
    <t>кількість осіб пільгової категорії  населення, які отримають ліки на пільгових умовах, осіб</t>
  </si>
  <si>
    <t>динамика обсягу витрат на забезпечення пільгової категорії населення лікарськими засобами за безкоштовними рецептами порвняно до попереднього року, %</t>
  </si>
  <si>
    <t>динамика обсягу витрат на забезпечення надання громадянам послуг по зубопротезуванню на пільгових умовах порвняно до попереднього року, %</t>
  </si>
  <si>
    <t>середня вартість зубопротезування на одного пацієнта, грн</t>
  </si>
  <si>
    <t>кількість осіб, які отримають послуги з зубного протезування, осіб</t>
  </si>
  <si>
    <t>кількість аналітичних довідок, письмових роз`яснень, іншої інформації працівників інформаційно-аналітичного центру медичної статистики, од.</t>
  </si>
  <si>
    <t>кількість рахунків на одного працівника централізованої бухгалтерії, од.</t>
  </si>
  <si>
    <t>кількість звітних форм на одного працівника централізованої бухгалтерії, од.</t>
  </si>
  <si>
    <t>кількість аналітичних довідок, письмових роз`яснень, іншої інформації наданих інформаційно-аналітичного центру медичної статистики, од.</t>
  </si>
  <si>
    <t>кількість  обладнання, од.</t>
  </si>
  <si>
    <t>кількість інвестиційних проєктів,од.</t>
  </si>
  <si>
    <t xml:space="preserve"> 1.1.1. Покриття вартості комунальних послуг та енергоносіїв, КПКВК 0712111</t>
  </si>
  <si>
    <t xml:space="preserve"> 1.2.1. Покриття вартості комунальних послуг та енергоносіїв, КПКВК 0712010</t>
  </si>
  <si>
    <t>кількість штатних одиниць лікарів-інтернів, од.</t>
  </si>
  <si>
    <t>в т.ч. лікарі, од.</t>
  </si>
  <si>
    <t>кількість пролікованих пацієнтів, од.</t>
  </si>
  <si>
    <t xml:space="preserve"> централізованої бухгалтерії,од.</t>
  </si>
  <si>
    <t xml:space="preserve"> інформаційно-аналітичного центру, од.</t>
  </si>
  <si>
    <t>середня вартість інвестиційного проєкту, грн.</t>
  </si>
  <si>
    <t>середні видатки на придбання одиниці обладнання ,грн.</t>
  </si>
  <si>
    <t>Забезпечення  інформаційно-аналітичними матеріалами та стабільним фінансуванням, здійснення контролю за складанням звітності комунальних некомерційних підприємств</t>
  </si>
  <si>
    <t xml:space="preserve">Завершення проекту "Капітальний ремонт будівлі за адресою: м.Суми, вул.Троїцька,28 (стаціонар двохповерхова будівля)" та придбання сучасного медичного реабілітаційного обладнання для покращення умов перебування пацієнтів і медичних працівників у закладі охорони здоров'я та отримання якісних медичних послуг                  </t>
  </si>
  <si>
    <t>Завершення проекту "Капітальний ремонт будівлі за адресою: м.Суми, вул.Троїцька,28 (стаціонар двохповерхова будівля)" та придбання сучасного медичного реабілітаційного обладнання для покращення умов перебування пацієнтів та медичних працівників у закладі охорони здоров'я та отримання якісних медичних послуг</t>
  </si>
  <si>
    <t>Забезпечення  сталого функціонування медичних закладів та установ та комфортних умов перебування пацієнтів та медичного персоналу</t>
  </si>
  <si>
    <r>
      <t xml:space="preserve">Всього на виконання програми </t>
    </r>
    <r>
      <rPr>
        <sz val="22"/>
        <rFont val="Times New Roman"/>
        <family val="1"/>
        <charset val="204"/>
      </rPr>
      <t>(без коштів на виконання інших цільових програм)</t>
    </r>
    <r>
      <rPr>
        <b/>
        <sz val="22"/>
        <rFont val="Times New Roman"/>
        <family val="1"/>
        <charset val="204"/>
      </rPr>
      <t>, грн</t>
    </r>
  </si>
  <si>
    <t>Всього на виконання підпрограми 1, грн</t>
  </si>
  <si>
    <t>обсяг видатків, грн</t>
  </si>
  <si>
    <t>середні витрати на 1 заклад, грн</t>
  </si>
  <si>
    <t>динамика обсягу витрат на забезпечення покриття вартості комунальних послуг та енергоносіїв порівняно до попереднього року, %</t>
  </si>
  <si>
    <t>кількість дітей, яким планується  провести туберкулінодіагностику, осіб</t>
  </si>
  <si>
    <t>динамика обсягу витрат на проведення туберкулінодіагностики (придбання туберкуліну) порівняно до попереднього року, %</t>
  </si>
  <si>
    <t>обсяг видатків, грн :</t>
  </si>
  <si>
    <t>середні витрати  на одну дитину з орфанними захворюваннями, грн</t>
  </si>
  <si>
    <t>динамика обсягу витрат на забезпечення  лікувальним харчуванням  дітей хворих на орфанні  рідкісні захворювання,   продуктами харчування дітей віком від 0-2 років з малозабезпечених сімей та дітей народжених від ВІЛ -  інфікованих матерів порівняно до попереднього року , %</t>
  </si>
  <si>
    <t>середні витрати  на одну дитину від 0-2 років з малозабезпечених  сімей, грн</t>
  </si>
  <si>
    <t>середні витрати на одну дитину народжену від ВІЛ - інфікованої матері, грн</t>
  </si>
  <si>
    <t xml:space="preserve"> середні витрати на 1 заклад , грн</t>
  </si>
  <si>
    <t>середні витрати на одну особу, грн</t>
  </si>
  <si>
    <t>витрати на утримання 1 посади лікаря - інтерна, грн</t>
  </si>
  <si>
    <t>середня вартість проведеного медичного огляду однієї особи, грн</t>
  </si>
  <si>
    <t>зниження рівня захворюваності порівнянно з попереднім роком, %</t>
  </si>
  <si>
    <t>зниження незапланованої вагітності у неповнолітніх, %</t>
  </si>
  <si>
    <t>середні витрати на 1 обстеження, грн</t>
  </si>
  <si>
    <t>рівень охоплення  медичними оглядами , %</t>
  </si>
  <si>
    <t>кількість медичних працівників, що входять до складу комісії, осіб</t>
  </si>
  <si>
    <t>Обсяг видатків, грн:</t>
  </si>
  <si>
    <t xml:space="preserve">Обсяг видатків, грн </t>
  </si>
  <si>
    <t>середня вартість 1 лікарського відвідування (враховані видатки на комунальні послуги та енергоносії), грн</t>
  </si>
  <si>
    <t>кількість відвідувань на одну штатну посаду лікаря, осіб</t>
  </si>
  <si>
    <t>Всього на виконання підпрограми 2, грн</t>
  </si>
  <si>
    <t>придбання підгузків, грн</t>
  </si>
  <si>
    <t>придбання калоприймачів, катетерів, уропрезервативи, грн</t>
  </si>
  <si>
    <t>придбання прокладок урологічних, грн</t>
  </si>
  <si>
    <t>витрати на одну особу, які отримали підгузки, грн</t>
  </si>
  <si>
    <t>витрати на одну особу, які отримали калоприймачи, катетери, уропрезервативи, грн</t>
  </si>
  <si>
    <t>витрати на одну особу, які отримали прокладки урологічної, грн</t>
  </si>
  <si>
    <t xml:space="preserve">обсяг видатків, грн </t>
  </si>
  <si>
    <t>Всього на виконання підпрограми 3, грн</t>
  </si>
  <si>
    <t>обсяг витрат, грн</t>
  </si>
  <si>
    <t>кількість штатних одиниць, од.:</t>
  </si>
  <si>
    <t>Всього на виконання підпрограми 4, грн</t>
  </si>
  <si>
    <t>КНП "Клінічна лікарня № 4"СМР</t>
  </si>
  <si>
    <t>КНП "Клінічна лікарня № 5"СМР</t>
  </si>
  <si>
    <r>
      <t>КНП "Центр первинної медико-санітарної допомоги № 1" СМР</t>
    </r>
    <r>
      <rPr>
        <i/>
        <sz val="22"/>
        <rFont val="Times New Roman"/>
        <family val="1"/>
        <charset val="204"/>
      </rPr>
      <t xml:space="preserve"> </t>
    </r>
  </si>
  <si>
    <t>Завершення проекту "Капітальний ремонт будівель медичного закладу з утепленням стін, покрівлі, заміною покриття, заміною системи опалення за адресою м.Суми, вул. М.Вовчок ,2"</t>
  </si>
  <si>
    <t>1.2.3. Сприяння забезпеченню  первинного підвищення кваліфікації випускників вищих медичних закладів (інтернатура 3 рік навчання)</t>
  </si>
  <si>
    <t>1.2.4. Проведення обов'язкових  профілактичних оглядів  з видачею  особистих медичних книжок працівникам бюджетної сфери</t>
  </si>
  <si>
    <t>1.3.1. Покриття вартості комунальних послуг та енергоносіїв</t>
  </si>
  <si>
    <t>Разом по заходу 1.1.1.</t>
  </si>
  <si>
    <t>Разом по заходу 1.1.2.</t>
  </si>
  <si>
    <t>Разом по заходу 1.1.3.</t>
  </si>
  <si>
    <t>Разом по заходу 1.1.4.</t>
  </si>
  <si>
    <t>Разом по заходу 1.1.5.</t>
  </si>
  <si>
    <t>Разом по заходу 1.2.1.</t>
  </si>
  <si>
    <t>Разом по заходу 1.2.7.</t>
  </si>
  <si>
    <t>Разом по заходу 1.2.6.</t>
  </si>
  <si>
    <t>Разом по заходу 1.2.8.</t>
  </si>
  <si>
    <t xml:space="preserve">Всього по напряму 1.3., у тому числі </t>
  </si>
  <si>
    <t>Всього по напряму 1.4., у тому числі</t>
  </si>
  <si>
    <t>Разом по заходу 2.1.1.</t>
  </si>
  <si>
    <t>Разом по заходу 2.1.2.</t>
  </si>
  <si>
    <t>Разом по заходу 2.1.3.</t>
  </si>
  <si>
    <t>1.2.2. Сприяння забезпеченню надання антирабічної допомоги, КПКВК 0712010</t>
  </si>
  <si>
    <t>1.2.4. Проведення обов'язкових  профілактичних оглядів  з видачею  особистих медичних книжок працівникам бюджетної сфери, КПКВК 0712152</t>
  </si>
  <si>
    <t>1.3.1. Покриття вартості комунальних послуг та енергоносіїв, КПКВК 0712030</t>
  </si>
  <si>
    <t>1.4. Збереження стоматологічного здоров'я населення</t>
  </si>
  <si>
    <t>3.1. Інші заклади</t>
  </si>
  <si>
    <t>4.1. Зміцнення та оновлення матеріально-технічної бази закладів охорони здоров'я</t>
  </si>
  <si>
    <t>кількість осіб, яким проводиться щеплення ( по медичним висновкам), осіб</t>
  </si>
  <si>
    <t>кількість працівників бюджетної сфери,  яким проводяться обов'язкові  профілактичні огляди  з видачею  особистих медичних книжок, осіб</t>
  </si>
  <si>
    <t>кількість  проведених бесід, семінарів, лекцій, од.</t>
  </si>
  <si>
    <t>кількість проведених лекцій, бесід, семінарів на 1 лікаря, од.</t>
  </si>
  <si>
    <t>кількість кандидатів на військову службу, осіб</t>
  </si>
  <si>
    <t>середні витрати на одного медичного працівника, грн</t>
  </si>
  <si>
    <t>витрати на закупівлю ендопротезів колінних і кульшових суглобів, од.</t>
  </si>
  <si>
    <t>витрати на закупівлю ендопротезів судин, од.</t>
  </si>
  <si>
    <t>кількість пацієнтів, яким проводиться ендопротезування колінних і кульшових суглобів, осіб</t>
  </si>
  <si>
    <t>кількість пацієнтів, яким проводиться ендопротезування судин, осіб</t>
  </si>
  <si>
    <t>середні витрати на одного пацієнта при  ендопротезвунні  колінних і кульшових суглобів, грн.</t>
  </si>
  <si>
    <t>середні витрати на одного пацієнта при ендопротезвунні  судин, грн.</t>
  </si>
  <si>
    <t>придбання медичного препарату "Диспорт" для дітей хворих на церебральний параліч, грн</t>
  </si>
  <si>
    <t>кількість дітей, які отримають медичний препарат "Диспорт", осіб</t>
  </si>
  <si>
    <t>кількість дітей, які отримають медичний препарат "Октагам", осіб</t>
  </si>
  <si>
    <t>Середні витрати на одну дитину хвору на церебральний параліч, грн.</t>
  </si>
  <si>
    <t>Середні витрати на одну дитину хвору на вроджений імунодифіцит, грн.</t>
  </si>
  <si>
    <t>кількість пролікованих пацієнтів на одного лікаря, осіб</t>
  </si>
  <si>
    <t>динамика обсягу витрат на забезпечення покриття вартості комунальних послуг та енергоносіїв порвняно до попереднього року, %</t>
  </si>
  <si>
    <t>ПІДПРОГРАМА 2. Забезпечення соціальних стандартів у сфері охорони здоров'я</t>
  </si>
  <si>
    <t>кількість осіб, які отримають підгузки, осіб</t>
  </si>
  <si>
    <t>кількість осіб, які отримають калоприймачі, катетери,уропрезервативи, осіб</t>
  </si>
  <si>
    <t>кількість осіб, які  отримають прокладок урологічних, осіб</t>
  </si>
  <si>
    <t>динамика обсягу витрат на забезпечення пільгової категорії населення  технічними та іншими засобами порівняно до попереднього року, %</t>
  </si>
  <si>
    <t>централізована бухгалтерія, од.</t>
  </si>
  <si>
    <t>інформаційно-аналітичний центр медичної статистик, од.</t>
  </si>
  <si>
    <t>кількість медичних закладів, які обслуговує централізована бухгалтерія, од.</t>
  </si>
  <si>
    <t>кількість звітних форм та інформацій працівників бухгалтерії, од.</t>
  </si>
  <si>
    <t>кількість рахунків, од.</t>
  </si>
  <si>
    <t>продукти дитячого харчування дітям, народженим від ВІЛ-інфікованих матерів, грн</t>
  </si>
  <si>
    <t>0712070</t>
  </si>
  <si>
    <t>КНП СОР "Сумський обласний центр екстренної медичної допомоги та медицини катастроф"</t>
  </si>
  <si>
    <t>Зміни до програми, тис.грн.</t>
  </si>
  <si>
    <t>Обгрунтування</t>
  </si>
  <si>
    <t>Разом по програмі</t>
  </si>
  <si>
    <t>Обсяг коштів, передбачений діючою програмою (рішення СМР від 26.01.22 № 2713-МР)</t>
  </si>
  <si>
    <t>Капітальний ремонт будівель медичного закладу з утепленням стін, покрівлі, заміною покриття, заміною системи опалення за адресою м. Суми, вул. М. Вовчок, 2</t>
  </si>
  <si>
    <t>Обсяг видатків направлених на проведення ремонтних  робіт інженерних мереж , грн:</t>
  </si>
  <si>
    <t>«Субвенція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 бюджету, що утворився на початок бюджетного
періоду»</t>
  </si>
  <si>
    <t>Разом по заходу 4.1.4.</t>
  </si>
  <si>
    <t>УСЬОГО по підпрограмі 4.  Приведення закладів охорони здоров'я у відповідність до сучасних потреб</t>
  </si>
  <si>
    <t>Порівняльна таблиця до комплексної  Програми Cумської міської територіальної  громади "Охорона здоров'я" на 2022-2024 роки (зі змінами)</t>
  </si>
  <si>
    <t>обсяг видатків направлених на закупівлю послуг щодо встановлення кисневих станцій,грн.</t>
  </si>
  <si>
    <t>кількість кисневих станцій для встановлення, од.:</t>
  </si>
  <si>
    <t>середні витрати для закупівлі послуг на встановлення кисневих станцій, грн.:</t>
  </si>
  <si>
    <t>питома вага використаних коштів щодо затверджених видатків,%</t>
  </si>
  <si>
    <t>Разом по заходу 4.1.5.</t>
  </si>
  <si>
    <t>Разом по заходу 1.2.10.</t>
  </si>
  <si>
    <t>кількість осіб, яким планується встановлення ортопедичних металоконструкцій</t>
  </si>
  <si>
    <t>середні видатки на одну особу, грн.</t>
  </si>
  <si>
    <t>кількість осіб, яким встановлені/будуть встановлені до кінця року мовні процесори</t>
  </si>
  <si>
    <t>середні видатки на одну особу,щодо встановлення мовного процесора</t>
  </si>
  <si>
    <t>середні видатки на одну особу,щодо встановлення слухового апарату</t>
  </si>
  <si>
    <t>питома вага використаних коштів до затверджених по слуховим апаратам, %</t>
  </si>
  <si>
    <t>кількість установ</t>
  </si>
  <si>
    <t>обсяг витрат для проведення капітальних ремонтів тимчасових укриттів,грн.</t>
  </si>
  <si>
    <t>середні витрати для проведення ремонтів об'єктів тимчасових укриттів,грн.</t>
  </si>
  <si>
    <t>обсяг видатків на придбання довгострокового обладнаня, грн</t>
  </si>
  <si>
    <t>Забезпечення послуг з комп'ютерної томографії призовників,які призиваються до  лав зброїних сил України</t>
  </si>
  <si>
    <t>Забезпечення заробітною платою з нарахуваннями штатної чисельності інфекційного боксованого відділення №3 КНП "Дитяча клінічна лікарня Святої Зінаїди"СМР та медикаментами і виробами медичного призначення.</t>
  </si>
  <si>
    <t>кількість штатних посад,од.</t>
  </si>
  <si>
    <t>кількість пролікованих хворих, од.</t>
  </si>
  <si>
    <t>кількість лікарських відвідувань на одну лікарську посаду</t>
  </si>
  <si>
    <t>відсоток осіб, що отримали лікування потребуючих, %</t>
  </si>
  <si>
    <t>у т.ч.</t>
  </si>
  <si>
    <t>лікарів</t>
  </si>
  <si>
    <t>жінки</t>
  </si>
  <si>
    <t>чоловіки</t>
  </si>
  <si>
    <t>кількість осіб,яким планується проведення комп'ютерної томографії зубів,осіб</t>
  </si>
  <si>
    <t>1.2.5. Забезпечення функціонування відділення медико-соціальної допомоги дітям та молоді "Клініка, дружня до молоді" та утримання лікарів логопедів</t>
  </si>
  <si>
    <t>Сприяння забезпеченню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 Утримання лікарів логопедів.</t>
  </si>
  <si>
    <t>забезпечення послугами з комп'ютерної томографії призовників,які призиваються до  лав зброїних сил України, грн</t>
  </si>
  <si>
    <t>організація призову громадян на військову службу, грн</t>
  </si>
  <si>
    <t>в т.ч. :</t>
  </si>
  <si>
    <t>кількість обладнання, од.</t>
  </si>
  <si>
    <t>1.2.5. Забезпеченню функціонування відділення медико-соціальної допомоги дітям та молоді "Клініка, дружня до молоді" та утримання лікарів логопедів, КПКВК 0712010</t>
  </si>
  <si>
    <t>Інша субвенція з бюджету Миколаївської селищної ТГ</t>
  </si>
  <si>
    <t>Разом по заходу 1.2.9.</t>
  </si>
  <si>
    <t>Інші надходження (спеціальний фонд)</t>
  </si>
  <si>
    <t>Отримання благодійної допомоги у вигляді натуральної форми.</t>
  </si>
  <si>
    <t>1512010</t>
  </si>
  <si>
    <t>Управління капітального будівництва Сумської міської ради</t>
  </si>
  <si>
    <t xml:space="preserve">обсяг надходжень в натуральній формі, грн </t>
  </si>
  <si>
    <t xml:space="preserve">Поліпшення якості життя пацієнтів відповідного контингенту та
рівня їхньої соціальної реабілітації, зменшення показників інвалідності та захворюваності.
</t>
  </si>
  <si>
    <t>Покращення показників здоров'я та якості життя  дітей хворих  на вроджений імунодифіцит</t>
  </si>
  <si>
    <t xml:space="preserve">Забезпечення лікарськими засобами за рецептами лікарів у разі амбулаторного лікування груп населення та за категоріями захворювань згідно з Постановою Кабінету Міністрів Украни від 17.08.1998 №1303. Попередження розвитку ускладнень та продовження тривалості і якості життя                       </t>
  </si>
  <si>
    <t xml:space="preserve">Оновлення лікувально-діагностичної бази закладів охорони здоров'я з метою надання медичних послуг на сучасному обладнанні, що значно підвищить якість надання медичної допомоги. </t>
  </si>
  <si>
    <t>Створення комфортних умов для перебування пацієнтів та роботи персоналу у закладах охорони здоров'я</t>
  </si>
  <si>
    <t>Приведення у належний стан та забезпечення готовності об'єктів для використання в якості тимчасових укриттів в період воєнного стану</t>
  </si>
  <si>
    <t>Сприяння  навчанню та підготовки нових спеціалістів.</t>
  </si>
  <si>
    <t>Придбання колінних та кульшових ендопротезів для надання ортопедичної допомоги мешканцям громади з захворюваннями суглобів для відновлення функціонування кінцівок та зменшення больового синдрому.</t>
  </si>
  <si>
    <t>Забезпечення надання якісної спеціалізованої медичної допомоги мешканцям Миколаївської селищної ТГ.</t>
  </si>
  <si>
    <t>Забезпечення харчовими продуктами дітей віком 0-2 роки для задоволення їх дієтичних  потреб.</t>
  </si>
  <si>
    <t xml:space="preserve">Профілактика та підтримка дітей, народжених від ВІЛ - інфікованих матерів, для забезпечення ефективної протидії поширенню хвороби, зумовленої вірусом імунодефіциту людини.   </t>
  </si>
  <si>
    <t xml:space="preserve">Забезпечення металоконструкціями для остеосинтезу та пластики зв'язкового апарату суглобів військовослужбовців ЗСУ. </t>
  </si>
  <si>
    <t xml:space="preserve">Покращення показників здоров'я та якості життя дітей хворих на ювенільний ревматоїдний артрит </t>
  </si>
  <si>
    <t xml:space="preserve">Сприяння забезпеченню безоплатними слуховими апаратами, мовними процесорами та іншими технічними засобами дорослих осіб з інвалідністю та інших категорій громадян з метою медичної та соціальної реабілітації хворих. </t>
  </si>
  <si>
    <t>Закупівля опорними закладами охорони здоров'я послуг щодо проектування та встановлення кисневих станцій для безперебійного забезпечення хворих киснем.</t>
  </si>
  <si>
    <t>Програма Сумської міської територіальної громади «Соціальна підтримка Захисників і Захисниць України та членів їх сімей» на 2022-2024 роки</t>
  </si>
  <si>
    <t>Програма підвищення енергоефективності в бюджетній сфері Сумської міської територіальної громади на 2022-2024 роки</t>
  </si>
  <si>
    <t>лікувальне харчування для  дітей  з рідкісними (орфанними) захворюваннями, грн</t>
  </si>
  <si>
    <t>кількість дітей  з рідкісними (орфанними) захворюваннями, осіб</t>
  </si>
  <si>
    <t>продукти  харчування дітей віком від 0-2 років  з малозабезпечених сімей, грн</t>
  </si>
  <si>
    <t xml:space="preserve"> 1.2. Розвиток вторинної (спеціалізованої)/третинної (високоспеціалізованої) медичної допомоги</t>
  </si>
  <si>
    <t>придбання  медичного  препарату  "Октагам" для дітей, хворих  на вроджений імунодифіцит, грн</t>
  </si>
  <si>
    <t>придбання дороговартісних препаратів для дітей хворих на ювенальний ревматоїдний артрит, грн</t>
  </si>
  <si>
    <t>кількість дітей хворих на ювенальний ревматоїдний артрит , які отримають дороговартісні препарати, осіб</t>
  </si>
  <si>
    <t xml:space="preserve">Середні витрати на одну дитину хвору на ювенальний ревматоїдний артрит, грн. </t>
  </si>
  <si>
    <t xml:space="preserve">1.3. Забезпечення надання акушерсько - гінекологічної допомоги </t>
  </si>
  <si>
    <t>Підвищення енергоефективності в закладах охорони здоров'я міста та створення комфортних умов перебування пацієнтів і працівників.</t>
  </si>
  <si>
    <t>Забезпечення  стоматологічними послугами Захисників і Захисниць України та членів їх сімей</t>
  </si>
  <si>
    <t>Забезпечення проведення якісного та своєчасного медичного освідчення  військовозобов’язаних громадян, які підлягають призову на військову службу до Збройних Сил України протягом року</t>
  </si>
  <si>
    <t xml:space="preserve">Придбання колінних та кульшових протезів для надання ортопедичної допомоги хворим на артроз </t>
  </si>
  <si>
    <t xml:space="preserve">Покращення показників здоров'я дітей хворих на церебральний параліч </t>
  </si>
  <si>
    <t>Покращення показників здоров'я  дітей хворих  на вроджений імунодифіцит</t>
  </si>
  <si>
    <t xml:space="preserve">Покращення показників здоров'я   дітей хворих на ревматоїдний артрит </t>
  </si>
  <si>
    <t>Забезпечення  сталого функціонування медичних закладів та установ та комфортних умов перебування пацієнтів та медичного персоналу (поточні ремонти, придбання предметів, матеріалів, обладнаня та інвентар,  тощо.)</t>
  </si>
  <si>
    <t>Забезпечення військовослужбовців ортопедичними металоконструкціями.</t>
  </si>
  <si>
    <t xml:space="preserve">1.4.1. Сприяння наданню амбулаторної стоматологічної допомоги  дорослому населенню пільгових категорій          </t>
  </si>
  <si>
    <t>Виконання соціальних гарантій пільгових категорій громадян</t>
  </si>
  <si>
    <t xml:space="preserve">2.1.1.Сприяння забезпеченню пільгової категорії населення лікарськими засобами за безкоштовними рецептами </t>
  </si>
  <si>
    <t xml:space="preserve">Попередження розвитку ускладнень та продовження тривалості і якості життя                       </t>
  </si>
  <si>
    <t xml:space="preserve">Покращення догляду за тяжкохворими у домашніх умовах та адаптування їх до самообслуговування. </t>
  </si>
  <si>
    <t xml:space="preserve">Сприяння забезпеченню пільгової категорії громадян медичними послугами згідно з чинним законодавством </t>
  </si>
  <si>
    <t xml:space="preserve">Сприяння забезпеченню компенсації функцій ушкоджених органів, з метою медичної та соціальної реабілітації осіб з інвалідністю з вираженими вадами слуху. Забезпечення дорослого населення з інвалідністю мовними процесорами </t>
  </si>
  <si>
    <t xml:space="preserve">3.1.1. Забезпечення діяльності централізованої бухгалтерії  та інформаційно-аналітичного центру медичної статистики управління охорони здоров'я СМР  </t>
  </si>
  <si>
    <t>Для придбання  симуляторівї "двох поранень".</t>
  </si>
  <si>
    <t xml:space="preserve">4.1.1. Придбання обладнання          </t>
  </si>
  <si>
    <t>Закупівля опорними закладами охорони здоров'я послуг щодо проектування та встановлення кисневих станцій</t>
  </si>
  <si>
    <t>Приведення у належний стан готовності об'єктів тимчасових укриттів в період воєнного часу</t>
  </si>
  <si>
    <t>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створення комфортних умов перебування у закладах охорони здоров'я.</t>
  </si>
  <si>
    <t>1.2.6.Сприяння організації призову громадян на військову службу.</t>
  </si>
  <si>
    <t>Розвиток вторинної (спеціалізованої)/третинної (високоспеціалізованої) медичної допомоги</t>
  </si>
  <si>
    <t xml:space="preserve">Забезпечення надання акушерсько - гінекологічної допомоги </t>
  </si>
  <si>
    <t xml:space="preserve">Забезпечення доступності надання медичної допомоги хворим на орфанні захворювання, збільшення тривалості життя хворих та зменшення проявів інвалідизації.  </t>
  </si>
  <si>
    <t xml:space="preserve">Сприяння безоплатного проведення зубопротезування пільговим категоріям громадян  згідно з чинним законодавством </t>
  </si>
  <si>
    <t>1.2.8. Проведення ендопротезування в т.ч.:</t>
  </si>
  <si>
    <t>1.2.8.1. Ендопротезування великих суглобів</t>
  </si>
  <si>
    <t>1.2.8.2. Ендопротезування великих суглобів</t>
  </si>
  <si>
    <t>1.2.8.3. Ендопротезування судин</t>
  </si>
  <si>
    <t>1.2.9. Сприяння забезпеченню дороговартісними лікарськими засобами, в т.ч.:</t>
  </si>
  <si>
    <t xml:space="preserve">1.2.9.1. Препарат "Диспорт" для дітей хворих на церебральний параліч </t>
  </si>
  <si>
    <t xml:space="preserve">1.2.9.2. Препарат "Диспорт" для дітей хворих на церебральний параліч </t>
  </si>
  <si>
    <t>1.2.9.3.  Препарат "Октогам" для дітей хворих  на вроджений імунодифіцит</t>
  </si>
  <si>
    <t>1.2.9.5. Препарат "Хуміра" , "Актембра","Методжект" для дітей хворих на ревматоїдний артрит</t>
  </si>
  <si>
    <t>1.2.9.6. Дороговартісні препарати для дітей хворих на ювенільний ревматоїдний артрит</t>
  </si>
  <si>
    <t>1.2.10. Сприяння наданню вторинної допомоги</t>
  </si>
  <si>
    <t>Разом по заходу 1.2.11.</t>
  </si>
  <si>
    <t>1.2.11. Сприяння наданню вторинної допомоги</t>
  </si>
  <si>
    <t>Разом по заходу 1.2.12.</t>
  </si>
  <si>
    <t>Разом по заходу 1.2.13.</t>
  </si>
  <si>
    <t>1.2.13. Придбання металоконструкцій  для забезпечення лікування  військовослужбовців  ЗСУ (металоконструкції для остеосинтезу  та для пластики  зв'язкового апарату)</t>
  </si>
  <si>
    <t>1.2.14. Забезпечення безпребійного функціонування інфекційного відділення №3 КНП "Дитяча клінічна лікарня Святої Зінаїди" СМР</t>
  </si>
  <si>
    <t>1.4.4. Покриття вартості комунальних послуг та енергоносіїв</t>
  </si>
  <si>
    <t xml:space="preserve">Надання безоплатної стоматологічної допомоги пільговим категоріям дорослого населення. </t>
  </si>
  <si>
    <t xml:space="preserve">2.1.2.Сприяння забезпеченню  безоплатного та пільгового відпуску лікарських засобів під час амбулаторного лікування окремих груп населення та за певними категоріями захворювань </t>
  </si>
  <si>
    <t xml:space="preserve">2.1.3. Забезпечення осіб з інвалідністю, дітей з інвалідністю технічними та іншими засобами для догляду у домашніх умовах </t>
  </si>
  <si>
    <t>2.1.4. Забезпечення осіб з інвалідністю, дітей з інвалідністю медичними засобами та іншими засобами для використання в амбулаторних умовах</t>
  </si>
  <si>
    <t>2.1.5. Сприяння забезпеченню надання громадянам  послуг по зубопротезуванню на пільгових умовах</t>
  </si>
  <si>
    <t>2.1.6. Сприяння забезпеченню надання громадянам  послуг з проведення зубопротезування на пільгових умовах</t>
  </si>
  <si>
    <t>2.1.7. Сприяння забезпеченню слуховими апаратами та мовними процесорами дорослого населення з інвалідністю</t>
  </si>
  <si>
    <t>2.1.8. Сприяння забезпеченню слуховими апаратами, мовними процесорами та іншими технічними виробами підлягаючих дорослих осіб</t>
  </si>
  <si>
    <t xml:space="preserve">3.1.2. Забезпечення діяльності відділу централізованого бухгалтерського обліку та економічного планування, віддлу інформаційно-аналітичного забезпечення та комунікацій управління охорони здоров'я СМР                   </t>
  </si>
  <si>
    <t>3.1.3. Придбання обладнання</t>
  </si>
  <si>
    <t>3.1.4. Сприяння розвитку закладів охорони здоров'я за рахунок надходжень благодійної допомоги</t>
  </si>
  <si>
    <t xml:space="preserve">4.1.2. Придбання обладнання               </t>
  </si>
  <si>
    <t xml:space="preserve">4.1.3. Проведення капітальних ремонтів </t>
  </si>
  <si>
    <t xml:space="preserve">4.1.5. Участь у інвестиційних проєктах, що реалізуються за рахунок коштів державного фонду регіонального розвитку    </t>
  </si>
  <si>
    <t>4.1.6. Закупівля послуг щодо проектування та встановлення кисневих станцій.</t>
  </si>
  <si>
    <t>4.1.7. Закупівля послуг щодо проектування та встановлення кисневих станцій.</t>
  </si>
  <si>
    <t>4.1.8. Проведення капітальних ремонтів об'єктів тимчасових укриттів</t>
  </si>
  <si>
    <t>1.2.7. Медичне забезпечення  приписки до призовної дільниці, призову громадян на військову службу та організації проведення медичного огляду військовозобов'язаних</t>
  </si>
  <si>
    <t>1.2.8. Проведення ендопротезування, КПКВК 0712010</t>
  </si>
  <si>
    <t>1.2.10. Сприяння наданню вторинної допомоги, КПКВК 0712010</t>
  </si>
  <si>
    <t>1.2.11. Сприяння наданню вторинної допомоги, КПКВК 0712010</t>
  </si>
  <si>
    <t>Обсяг видатків для сприяння наданню вторинної допомоги, грн:</t>
  </si>
  <si>
    <t>1.2.14.  Забезпечення безпребійного функціонування інфекційного відділення №3 КНП "Дитяча клінічна лікарня Святої Зінаїди" СМР, КПКВК 0712010</t>
  </si>
  <si>
    <t>1.2.3. Сприяння забезпеченню  первинного підвищення кваліфікації випускників вищих медичних закладів (інтернатура 3 рік навчання), КПКВК 0712010</t>
  </si>
  <si>
    <t>1.3.2. Покриття вартості комунальних послуг та енергоносіїв</t>
  </si>
  <si>
    <t>1.3.3. Сприяння забезпеченню  первинного підвищення кваліфікації випускників вищих медичних закладів (інтернатура 3 рік навчання)</t>
  </si>
  <si>
    <t>Підтримання сталого функціонування медичних закладів та установ.Забезпечення комфортними умовами перебування пацієнтів і працівників в приміщеннях закладів охорони здоров'я.</t>
  </si>
  <si>
    <t>1.3.3. Сприяння забезпеченню  первинного підвищення кваліфікації випускників вищих медичних закладів (інтернатура 3 рік навчання), КПКВК 0712030</t>
  </si>
  <si>
    <t xml:space="preserve">1.4.2. Сприяння наданню амбулаторної стоматологічної допомоги  пільговим категоріям територіальної громади         </t>
  </si>
  <si>
    <t>1.4.3. Покриття вартості комунальних послуг та енергоносіїв</t>
  </si>
  <si>
    <t xml:space="preserve">1.4.2. Сприяння наданню амбулаторної стоматологічної допомоги  пільговим категоріям територіальної громади,  КПКВК 0712100           </t>
  </si>
  <si>
    <t>1.4.3. Покриття вартості комунальних послуг та енергоносіїв, КПКВК 0712100</t>
  </si>
  <si>
    <t>1.4.4. Покриття вартості комунальних послуг та енергоносіїв, КПКВК 0712100</t>
  </si>
  <si>
    <t xml:space="preserve">2.1.1.Сприяння забезпеченню пільгової категорії населення лікарськими засобами за безкоштовними рецептами  , КПКВК 0712152 </t>
  </si>
  <si>
    <t>2.1.2.Сприяння забезпеченню  безоплатного та пільгового відпуску лікарських засобів під час амбулаторного лікування окремих груп населення та за певними категоріями захворювань, КПКВК 0712152</t>
  </si>
  <si>
    <t>2.1.3. Забезпечення осіб з інвалідністю, дітей з інвалідністю технічними та іншими засобами для догляду у домашніх умовах , КПКВК 0712152</t>
  </si>
  <si>
    <t>2.1.4. Забезпечення осіб з інвалідністю, дітей з інвалідністю медичними засобами та іншими засобами для використання в амбулаторних умовах, КПКВК 0712152</t>
  </si>
  <si>
    <t>2.1.5. Сприяння забезпеченню надання громадянам  послуг по зубопротезуванню на пільгових умовах, КПКВК 0712152</t>
  </si>
  <si>
    <t>2.1.6. Сприяння забезпеченню надання громадянам  послуг з проведення зубопротезування на пільгових умовах,КПКВК 0712152</t>
  </si>
  <si>
    <t>2.1.7. Сприяння забезпеченню слуховими апаратами та мовними процесорами дорослого населення з інвалідністю, КПКВК 0712010</t>
  </si>
  <si>
    <t>2.1.8. Сприяння забезпеченню слуховими апаратами, мовними процесорами та іншими технічними виробами підлягаючих дорослих осіб,КПКВК 0712010</t>
  </si>
  <si>
    <t xml:space="preserve">3.1.1. Забезпечення діяльності централізованої бухгалтерії  та інформаційно-аналітичного центру медичної статистики управління охорони здоров'я СМР  , КПКВК 0712151                   </t>
  </si>
  <si>
    <t xml:space="preserve">3.1.2. Забезпечення діяльності відділу централізованого бухгалтерського обліку та економічного планування, віддлу інформаційно-аналітичного забезпечення та комунікацій управління охорони здоров'я СМР ,   КПКВК 0712151                </t>
  </si>
  <si>
    <t xml:space="preserve">3.1.3. Придбання обладнання, КПКВК 0712152  </t>
  </si>
  <si>
    <t>обсяг видатків на проведення капітальних ремонтів, грн.</t>
  </si>
  <si>
    <t>кількість установ,для яких передбачено кошти на проведення капітальних ремонтів,од.</t>
  </si>
  <si>
    <t>середній обсяг витрат на проведення капітального ремонту в розрахунку на 1 установу, грн.</t>
  </si>
  <si>
    <t>4.1.5. Участь у інвестиційних проєктах, що реалізуються за рахунок коштів державного фонду регіонального розвитку, КПКВК    0717361</t>
  </si>
  <si>
    <t>4.1.6. Закупівля послуг щодо проектування та встановлення кисневих станцій, КПКВК 0712010</t>
  </si>
  <si>
    <t>4.1.7. Закупівля послуг щодо проектування та встановлення кисневих станцій, КПКВК 0712010</t>
  </si>
  <si>
    <t>в т.ч.:</t>
  </si>
  <si>
    <t>придбання медичних препаратів "Хуміра" , "Актембра","Методжект" для дітей хворих на ревматоїдний артрит, грн</t>
  </si>
  <si>
    <t>кількість дітей які отримають медичний препарат "Хуміра" , "Актембра","Методжект", осіб</t>
  </si>
  <si>
    <t xml:space="preserve">Середні витрати на одну дитину хвору на ревматоїдний артрит та кістозний фіброз із легеневими симптомами, грн. </t>
  </si>
  <si>
    <t>1.2.9. Сприяння забезпеченню дороговартісними лікарськими засобами, КПКВК 0712010 (1.2.9.2. Препарат "Диспорт" для дітей хворих на церебральний параліч;  1.2.9.4.  Препарат "Октагам" для дітей, хворих на вроджений імунодефіцит;1.2.9.6. Дороговартісні препарати для дітей хворих на ювенільний ревматоїдний артрит)</t>
  </si>
  <si>
    <t xml:space="preserve">4.1.2. Придбання обладнання    </t>
  </si>
  <si>
    <t>1.2.9.4.  Препарат "Октагам" для дітей, хворих на вроджений імунодефіцит</t>
  </si>
  <si>
    <t>УСЬОГО по підпрограмі 1.Покращення надання медичної допомоги населенню</t>
  </si>
  <si>
    <t>УСЬОГО по підпрограмі 2. Забезпечення соціальних стандартів у сфері охорони здоров'я.</t>
  </si>
  <si>
    <t>УСЬОГО по підпрограмі 3. Забезпечення соціальних стандартів у сфері охорони здоров'я.</t>
  </si>
  <si>
    <r>
      <t xml:space="preserve">Обсяг коштів програми, передбачений проектом рішення, тис.грн. </t>
    </r>
    <r>
      <rPr>
        <b/>
        <sz val="16"/>
        <rFont val="Times New Roman"/>
        <family val="1"/>
        <charset val="204"/>
      </rPr>
      <t>2023 рік</t>
    </r>
  </si>
  <si>
    <t>Підтримання  сталого функціонування медичних закладів та установ. Забезпечення комфортними умовами перебування пацієнтів і працівників  в приміщеннях закладів охорони здоров'я.</t>
  </si>
  <si>
    <t>Запобігання виникнення захворювання на сказ у людини після контакту із хворою або ж підозрілою на сказ твариною.</t>
  </si>
  <si>
    <t>1517322</t>
  </si>
  <si>
    <t>Реконструкція захисних споруд цивільного захисту неврологічного корпусу КНП  «Клінічна лікарня № 4» СМР за адресою: м. Суми,  вул. Металургів, 38</t>
  </si>
  <si>
    <t>Реконструкція неврологічного відділення КУ  «СМКЛ № 4» по вул. Металургів, 38</t>
  </si>
  <si>
    <t>4.1.9. Облаштування захисних споруд</t>
  </si>
  <si>
    <t>Разом по заходу 4.1.9.</t>
  </si>
  <si>
    <t>Разом по заходу 4.1.8.</t>
  </si>
  <si>
    <t>Разом по заходу 4.1.7.</t>
  </si>
  <si>
    <t>Разом по заходу 4.1.6.</t>
  </si>
  <si>
    <t>Разом по заходу 2.1.6.</t>
  </si>
  <si>
    <t>Разом по заходу 2.1.5.</t>
  </si>
  <si>
    <t>Разом по заходу 2.1.4.</t>
  </si>
  <si>
    <t xml:space="preserve">4.1.4. Проведення капітальних ремонтів/реконструкція                                           </t>
  </si>
  <si>
    <t>1.1.3.  Сприяння забезпеченню лікувальним харчуванням  дітей хворих на   рідкісні (орфанні) захворювання</t>
  </si>
  <si>
    <t xml:space="preserve">1.1.4. Сприяння забезпеченню продуктами харчування дітей віком від    0-2 років з малозабезпечених сімей </t>
  </si>
  <si>
    <t>1.1.5. Сприяння забезпеченню спеціальним харчуванням дітей народжених від ВІЛ-  інфікованих матерів</t>
  </si>
  <si>
    <t>Забезпечення проведення якісного та своєчасного медичного огляду  військовозобов’язаних громадян, які підлягають приписці до призовної дільниці, призову на військову службу до Збройних Сил України протягом року, проведення медичного огляду військовозобов'язаних та  резервістів, у тому числі при забезпеченні мобілізації.</t>
  </si>
  <si>
    <t xml:space="preserve">Покращення показників здоров'я та якості життя дітей хворих на церебральний параліч </t>
  </si>
  <si>
    <t>1.2.9. Сприяння забезпеченню дороговартісними лікарськими засобами (1.2.9.1. Препарат "Диспорт" для дітей хворих на церебральний параліч; 1.2.9.3.  Препарат "Октагам" для дітей хворих  на вроджений імунодифіцит. 1.2.9.5. Препарат "Хуміра" , "Актембра","Методжект" для дітей хворих на ревматоїдний артрит),КПКВК 0712010</t>
  </si>
  <si>
    <t xml:space="preserve">1.4.1.Сприяння наданню амбулаторної стоматологічної допомоги  дорослому населенню пільгових категорій , КПКВК 0712100          </t>
  </si>
  <si>
    <t>2.1. Виконання соціальних гарантій пільгових категорій громадян</t>
  </si>
  <si>
    <t>4.1.1. Придбання обладнання, КПКВК 0712010, КПКВК 0712152, КПКВК 0712070</t>
  </si>
  <si>
    <t>4.1.2. Придбання обладнання, КПКВК 0712010, КПКВК 0712152</t>
  </si>
  <si>
    <t>4.1.3. Проведення капітальних ремонтів,КПКВК 0712010, КПКВК 0712151</t>
  </si>
  <si>
    <t>4.1.8. Проведення капітальних ремонтів об'єктів тимчасових укриттів, КПКВК 0712010</t>
  </si>
  <si>
    <t>Забезпечення послуг з комп'ютерної томографії призовників,які призиваються до  лав Зброїних сил України</t>
  </si>
  <si>
    <t>Управління капітального будівництва та дорожнього господарства СМР</t>
  </si>
  <si>
    <t>2.1.4. Сприяння  забезпеченню осіб з інвалідністю, дітей з інвалідністю медичними засобами та іншими засобами для використання в амбулаторних умовах</t>
  </si>
  <si>
    <t xml:space="preserve">Забезпечення медичними виробами та іншими засобами осіб з інвалідністю, дітей з інвалідністю, які мають виражені порушення функцій органів та систем, з метою їх медичної реабілітації. </t>
  </si>
  <si>
    <t>Додаток 3</t>
  </si>
  <si>
    <t xml:space="preserve">Додаток 4  </t>
  </si>
  <si>
    <t>3.1.4. Сприяння розвитку закладів охорони здоров'я за рахунок надходжень благодійної допомоги, КПКВК 0712152</t>
  </si>
  <si>
    <t>4.1.4. Проведення капітальних ремонтів/реконструкція,КПКВК 0712010, КПКВК 0712151, КПКВК 0712030, КПКВК 0712100,КПКВК 1517322</t>
  </si>
  <si>
    <t>обсяг видатків на реконструкцію, грн.</t>
  </si>
  <si>
    <t>кількість об'єктів,які планується реконструювати,од.</t>
  </si>
  <si>
    <t>середній обсяг витрат на реконструкцію 1 об'єкта, грн.</t>
  </si>
  <si>
    <t>4.1.9. Облаштування захисних споруд, КПКВК 0712010, КПКВК 1517322</t>
  </si>
  <si>
    <t>Обсяг видатків, грн.:</t>
  </si>
  <si>
    <t>обсяг видатків на участь у інвестиційних проєктах, що реалізуються за рахунок коштів ДФРР, грн</t>
  </si>
  <si>
    <t>обсяг видатків, грн.:</t>
  </si>
  <si>
    <t>обсяг видатків на проведення капітальних ремонтів, за напрямами, грн:</t>
  </si>
  <si>
    <t>кількість об'єктів капітального ремонту, за напрямами, од.:</t>
  </si>
  <si>
    <t>середня вартість об'єкту, за напрямами грн.:</t>
  </si>
  <si>
    <t>середні витрати для проведення ремонтів захисних споруд,грн.</t>
  </si>
  <si>
    <t>середні витрати для проведення реконструкції захисних споруд,грн.</t>
  </si>
  <si>
    <t>кількість установ де планується проведення реконструкції захисних споруд,од.</t>
  </si>
  <si>
    <t>кількість установ де планується проведення капітальних ремонтів захисних споруд,од.</t>
  </si>
  <si>
    <t>обсяг видатків для проведення капітальних ремонтів захисних споруд,грн.</t>
  </si>
  <si>
    <t>обсяг видатків для реконструкції захисних споруд,грн.</t>
  </si>
  <si>
    <t>1.2.7. Медичне забезпечення  приписки до призовної дільниці, призову громадян на військову службу та організації проведення медичного огляду військовозобов'язаних. КПКВК 0712152,КПКВК 0712010</t>
  </si>
  <si>
    <t>1.2.6.Сприяння організації призову громадян на військову службу. КПКВК 0712010, КПКВК 0712152</t>
  </si>
  <si>
    <t>1.2.12. Забезпечення ортопедичними металоконструкціями для лікування військовослужбовців ЗСУ</t>
  </si>
  <si>
    <t>1.2.12. Забезпечення ортопедичними металоконструкціями для лікування військовослужбовців ЗСУ. КПКВК 0712010</t>
  </si>
  <si>
    <t>1.2.13. Придбання металоконструкцій  для забезпечення лікування  військовослужбовців  ЗСУ (металоконструкції для остеосинтезу  та для пластики  зв'язкового апарату). КПКВК 0712010</t>
  </si>
  <si>
    <t>1.3.2. Покриття вартості комунальних послуг та енергоносіїв, КПКВК 0712030</t>
  </si>
  <si>
    <t>Виконавець: Олена ЧУМАЧЕНКО</t>
  </si>
  <si>
    <t>Інша субвенція з місцевих бюджетів</t>
  </si>
  <si>
    <t xml:space="preserve"> Кошти бюджету ТГ (спеціальний фонд)</t>
  </si>
  <si>
    <t xml:space="preserve">4.1.4. Проведення капітальних ремонтів/реконструкція    </t>
  </si>
  <si>
    <t>Перерозподіл коштів з об'єкта Капітальний ремонт будівлі КНП "Дитяча клінічна лікарня Св.Зінаїди СМР за адресою: м.Суми, вул.Троїцька,28 (стаціонар, 2-х поверхова будівля) за рахунок економії -  -6710,0 тис.грн.</t>
  </si>
  <si>
    <t>Перерозподіл коштів на інфекційне відділення для придбання розхідників -    -98,4 тис.грн.КНП "Дитяча клінічна лікарня Св.Зінаїди" СМР</t>
  </si>
  <si>
    <t>Перерозподіл коштів для розроблення ПКД  та виконання робіт по об'єкту: "Поточний ремонт системи резервного електропостачання (транспортабельна дизельна електростанція) КНП "Дитяча клінічна лікарня Св.Зинаїди" СМР  за рахунок економії -  - 1,2 тис.грн.</t>
  </si>
  <si>
    <t>Перерозподіл коштів для розроблення ПКД  та виконання робіт по об'єкту: "Поточний ремонт системи резервного електропостачання (транспортабельна дизельна електростанція) КНП "Дитяча клінічна лікарня Св.Зинаїди" СМР  за рахунок економії -  - 480,1тис.грн.</t>
  </si>
  <si>
    <t>Перерозподіл коштів на інфекційне відділення для придбання розхідників - 527,2 тис.грн.КНП "Дитяча клінічна лікарня Св.Зінаїди" СМР</t>
  </si>
  <si>
    <t>Розроблення ПКД та виконання робіт по об'єкту: "Поточний ремонт системи резервного електропостачання (транспортабельна дизельна електростанція) КНП "Дитяча клінічна лікарня Св.Зінаїди" СМР за адресою Івана Сірка, 3 м.Суми" - 481,3 тис.грн.                                                          Забезпечення виконання вимог постанови №620 КНП "Клінічна лікарня Св.Пантелеймона"СМР -  744,6 тис.грн.( 710,0 тис.грн - кошти міського бюджету; 34,6тис.грн. -інша субвенція з місцевих бюджетів)</t>
  </si>
  <si>
    <t>Перерозподіл коштів за рахунок економії - 527,2 тис.грн. КНП "Дитяча клінічна лікарня Св.Зінаїди" СМР. Придбання розхідників для поповнення об'єктивного резерву закладу (для масового притоку інфекційних хворих) - 98,4 тис.грн. КНП "Дитяча клінічна лікарня Св.Зінаїди" СМР</t>
  </si>
  <si>
    <t>Сприяння забезпеченню осіб з інвалідністю та дітей з інвалідністю підгузками -1000,0 тис.грн. (КНП "ЦПМСД №1" СМР -600,0 тис.грн., КНП "ЦПМСД №2" СМР - 400,0 тис.грн.)</t>
  </si>
  <si>
    <t>Виготовлення ПКД для улаштування найпростішого укриття КНП "Клінічна стоматологічна поліклініка" СМР - 200,0 тис.грн.                      Капітальний ремонт частини підвальних приміщень з пристосуванням їх для використання як найпростішого укриття в будівлі КНП "Дитяча клінічна лікарня Св.Зінаїди" СМР за адресою: вул.Троїцька,28 в м.Суми" - 759,1 тис.грн.</t>
  </si>
  <si>
    <t>Проведення поточного ремонту, придбання предметів, матеріалів, обладнання та інвентарю.  Забезпечення виконання вимог Постанов КМУ від 19.06.23  №620 "Про затвердження Порядку відбору біологічного матеріалу у членів добровольчих формувань територіальних громад та його зберігання.</t>
  </si>
  <si>
    <t>Начальник міської військової</t>
  </si>
  <si>
    <t>адміністрації</t>
  </si>
  <si>
    <t>Олексій ДРОЗДЕНКО</t>
  </si>
  <si>
    <t xml:space="preserve">до наказу начальника міської військової адміністрації                                                                                   </t>
  </si>
  <si>
    <t xml:space="preserve">до до наказу начальника міської військової адміністрації       </t>
  </si>
  <si>
    <t>Централізована закупівля Управлінням охорони здоров'я СМР  комплекта обладнання ендоскопічної візуалізації для КНП "ЦМКЛ" СМР - 5 770,0 тис.грн.                Придбання обладнання для КНП "Дитячаклінічна лікарня Св. Зінаїди" СМР - 5003,8 тис.грн. (кондиціонери з встановленням - 1003,8 тис.грн.; електроенцефалографічної системи - 2700,0 тис.грн.; електроміограф - 1300,0 тис.грн.)</t>
  </si>
  <si>
    <t>Начальник міської військової адміністрації</t>
  </si>
  <si>
    <t>1.1.6.Сприяння забезпеченню спеціальним харчуванням дітей з хворобою Крона</t>
  </si>
  <si>
    <t>Забезпеченню спеціальним харчуванням дітей з хворобою Крона.</t>
  </si>
  <si>
    <t>кількість дітей з хворобою Крона, осіб</t>
  </si>
  <si>
    <t>середні витрати на одну дитину з хворобою Крона, грн</t>
  </si>
  <si>
    <t>забезпеченню спеціальним харчуванням дітей з хворобою Крона,грн</t>
  </si>
  <si>
    <t>1.1.3.; 1.1.4.; 1.1.5; 1.1.6 Сприяння забезпеченню лікувальним харчуванням  дітей хворих на рідкісні (орфанні) захворювання;   Сприяння забезпеченню продуктами харчування дітей віком від    0-2 років з малозабезпечених сімей ;Сприяння забезпеченню продуктами харчування дітей народжених від ВІЛ-  інфікованих матерів.Сприяння забезпеченню спеціальним харчуванням дітей з хворобою Крона КПКВК 0712152</t>
  </si>
  <si>
    <t>від 17.11.2023 № 10-СМР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</si>
</sst>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31" x14ac:knownFonts="1">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i/>
      <sz val="22"/>
      <name val="Times New Roman"/>
      <family val="1"/>
      <charset val="204"/>
    </font>
    <font>
      <sz val="24"/>
      <name val="Times New Roman"/>
      <family val="1"/>
      <charset val="204"/>
    </font>
    <font>
      <b/>
      <sz val="28"/>
      <name val="Times New Roman"/>
      <family val="1"/>
      <charset val="204"/>
    </font>
    <font>
      <sz val="28"/>
      <name val="Times New Roman"/>
      <family val="1"/>
      <charset val="204"/>
    </font>
    <font>
      <sz val="36"/>
      <name val="Times New Roman"/>
      <family val="1"/>
      <charset val="204"/>
    </font>
    <font>
      <sz val="48"/>
      <name val="Times New Roman"/>
      <family val="1"/>
      <charset val="204"/>
    </font>
    <font>
      <sz val="10"/>
      <name val="Arial Cyr"/>
      <charset val="204"/>
    </font>
    <font>
      <sz val="24"/>
      <color rgb="FFFF0000"/>
      <name val="Times New Roman"/>
      <family val="1"/>
      <charset val="204"/>
    </font>
    <font>
      <sz val="26"/>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5" fillId="0" borderId="0"/>
    <xf numFmtId="0" fontId="28" fillId="0" borderId="0"/>
  </cellStyleXfs>
  <cellXfs count="54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3" fontId="3" fillId="2" borderId="0" xfId="0" applyNumberFormat="1" applyFont="1" applyFill="1"/>
    <xf numFmtId="166" fontId="13" fillId="2" borderId="1" xfId="0" applyNumberFormat="1" applyFont="1" applyFill="1" applyBorder="1" applyAlignment="1">
      <alignment horizontal="center" vertical="top" wrapText="1"/>
    </xf>
    <xf numFmtId="0" fontId="3" fillId="2" borderId="1" xfId="0" applyFont="1" applyFill="1" applyBorder="1" applyAlignment="1">
      <alignment horizontal="center"/>
    </xf>
    <xf numFmtId="164" fontId="3" fillId="2" borderId="0" xfId="0" applyNumberFormat="1" applyFont="1" applyFill="1"/>
    <xf numFmtId="166" fontId="3" fillId="2" borderId="0" xfId="0" applyNumberFormat="1" applyFont="1" applyFill="1"/>
    <xf numFmtId="166" fontId="18" fillId="2" borderId="1" xfId="0" applyNumberFormat="1" applyFont="1" applyFill="1" applyBorder="1" applyAlignment="1">
      <alignment horizontal="center" vertical="top" wrapText="1"/>
    </xf>
    <xf numFmtId="166" fontId="18" fillId="2" borderId="1" xfId="0" applyNumberFormat="1" applyFont="1" applyFill="1" applyBorder="1" applyAlignment="1">
      <alignment horizontal="center" vertical="center" wrapText="1"/>
    </xf>
    <xf numFmtId="166" fontId="21" fillId="2" borderId="1" xfId="0" applyNumberFormat="1" applyFont="1" applyFill="1" applyBorder="1" applyAlignment="1">
      <alignment horizontal="center" vertical="top" wrapText="1"/>
    </xf>
    <xf numFmtId="166" fontId="21" fillId="2" borderId="6" xfId="0" applyNumberFormat="1" applyFont="1" applyFill="1" applyBorder="1" applyAlignment="1">
      <alignment horizontal="center" vertical="top" wrapText="1"/>
    </xf>
    <xf numFmtId="49" fontId="13" fillId="2" borderId="6" xfId="0" applyNumberFormat="1" applyFont="1" applyFill="1" applyBorder="1" applyAlignment="1">
      <alignment horizontal="left" vertical="top" wrapText="1"/>
    </xf>
    <xf numFmtId="166" fontId="18" fillId="2" borderId="6" xfId="0" applyNumberFormat="1" applyFont="1" applyFill="1" applyBorder="1" applyAlignment="1">
      <alignment horizontal="center" vertical="top" wrapText="1"/>
    </xf>
    <xf numFmtId="166" fontId="18" fillId="2" borderId="9" xfId="0" applyNumberFormat="1" applyFont="1" applyFill="1" applyBorder="1" applyAlignment="1">
      <alignment horizontal="center" vertical="top" wrapText="1"/>
    </xf>
    <xf numFmtId="166" fontId="21" fillId="2" borderId="9" xfId="0" applyNumberFormat="1" applyFont="1" applyFill="1" applyBorder="1" applyAlignment="1">
      <alignment horizontal="center" vertical="top" wrapText="1"/>
    </xf>
    <xf numFmtId="49" fontId="13" fillId="2" borderId="1" xfId="0" applyNumberFormat="1" applyFont="1" applyFill="1" applyBorder="1" applyAlignment="1">
      <alignment vertical="center" wrapText="1"/>
    </xf>
    <xf numFmtId="49" fontId="13" fillId="2" borderId="1" xfId="0" applyNumberFormat="1" applyFont="1" applyFill="1" applyBorder="1" applyAlignment="1">
      <alignment horizontal="left" vertical="top" wrapText="1"/>
    </xf>
    <xf numFmtId="166" fontId="21" fillId="2" borderId="1" xfId="0" applyNumberFormat="1" applyFont="1" applyFill="1" applyBorder="1" applyAlignment="1">
      <alignment horizontal="center" vertical="top"/>
    </xf>
    <xf numFmtId="166" fontId="21" fillId="2" borderId="1" xfId="0" applyNumberFormat="1" applyFont="1" applyFill="1" applyBorder="1" applyAlignment="1">
      <alignment horizontal="center" vertical="center" wrapText="1"/>
    </xf>
    <xf numFmtId="0" fontId="3" fillId="2" borderId="0" xfId="0" applyFont="1" applyFill="1" applyAlignment="1">
      <alignment horizontal="center"/>
    </xf>
    <xf numFmtId="0" fontId="21" fillId="2" borderId="0" xfId="0" applyFont="1" applyFill="1" applyAlignment="1">
      <alignment vertical="top"/>
    </xf>
    <xf numFmtId="0" fontId="13" fillId="2" borderId="0" xfId="0" applyFont="1" applyFill="1" applyAlignment="1">
      <alignment horizontal="center" vertical="center"/>
    </xf>
    <xf numFmtId="0" fontId="21"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21" fillId="2" borderId="0" xfId="3" applyFont="1" applyFill="1" applyAlignment="1">
      <alignment horizontal="center" wrapText="1"/>
    </xf>
    <xf numFmtId="0" fontId="13" fillId="2" borderId="0" xfId="0" applyFont="1" applyFill="1" applyAlignment="1">
      <alignment horizontal="center" wrapText="1"/>
    </xf>
    <xf numFmtId="0" fontId="21" fillId="2" borderId="0" xfId="0" applyFont="1" applyFill="1" applyAlignment="1">
      <alignment horizontal="center" wrapText="1"/>
    </xf>
    <xf numFmtId="0" fontId="1" fillId="2" borderId="0" xfId="0" applyFont="1" applyFill="1" applyAlignment="1">
      <alignment horizontal="center"/>
    </xf>
    <xf numFmtId="165" fontId="21" fillId="2" borderId="0" xfId="0" applyNumberFormat="1" applyFont="1" applyFill="1" applyAlignment="1">
      <alignment horizont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6" fontId="21" fillId="2" borderId="3" xfId="0" applyNumberFormat="1" applyFont="1" applyFill="1" applyBorder="1" applyAlignment="1">
      <alignment horizontal="center" vertical="top" wrapText="1"/>
    </xf>
    <xf numFmtId="0" fontId="1" fillId="2" borderId="0" xfId="0" applyFont="1" applyFill="1" applyAlignment="1">
      <alignment horizontal="center" vertical="center"/>
    </xf>
    <xf numFmtId="0" fontId="14" fillId="2" borderId="12" xfId="0" applyFont="1" applyFill="1" applyBorder="1" applyAlignment="1">
      <alignment vertical="top"/>
    </xf>
    <xf numFmtId="49" fontId="13" fillId="2" borderId="6" xfId="0" applyNumberFormat="1" applyFont="1" applyFill="1" applyBorder="1" applyAlignment="1">
      <alignment vertical="top" wrapText="1"/>
    </xf>
    <xf numFmtId="4" fontId="18" fillId="2" borderId="1" xfId="0" applyNumberFormat="1" applyFont="1" applyFill="1" applyBorder="1" applyAlignment="1">
      <alignment horizontal="center" vertical="center" wrapText="1"/>
    </xf>
    <xf numFmtId="0" fontId="23"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0" fontId="10" fillId="2"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49" fontId="13" fillId="2" borderId="8" xfId="0" applyNumberFormat="1" applyFont="1" applyFill="1" applyBorder="1" applyAlignment="1">
      <alignment horizontal="left" vertical="top" wrapText="1"/>
    </xf>
    <xf numFmtId="4" fontId="18" fillId="2" borderId="1" xfId="0" applyNumberFormat="1" applyFont="1" applyFill="1" applyBorder="1" applyAlignment="1">
      <alignment horizontal="center" vertical="top" wrapText="1"/>
    </xf>
    <xf numFmtId="4" fontId="21" fillId="2" borderId="1" xfId="0" applyNumberFormat="1" applyFont="1" applyFill="1" applyBorder="1" applyAlignment="1">
      <alignment horizontal="center" vertical="top" wrapText="1"/>
    </xf>
    <xf numFmtId="166" fontId="10" fillId="2" borderId="1" xfId="0" applyNumberFormat="1" applyFont="1" applyFill="1" applyBorder="1" applyAlignment="1">
      <alignment horizontal="center" vertical="top" wrapText="1"/>
    </xf>
    <xf numFmtId="0" fontId="13" fillId="2" borderId="1"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3" fillId="2" borderId="0" xfId="0" applyFont="1" applyFill="1" applyBorder="1"/>
    <xf numFmtId="0" fontId="10" fillId="2" borderId="0" xfId="0" applyFont="1" applyFill="1" applyBorder="1" applyAlignment="1">
      <alignment horizontal="left" vertical="top" wrapText="1"/>
    </xf>
    <xf numFmtId="0" fontId="10" fillId="2" borderId="4" xfId="0" applyFont="1" applyFill="1" applyBorder="1" applyAlignment="1">
      <alignment horizontal="center" vertical="top" wrapText="1"/>
    </xf>
    <xf numFmtId="164" fontId="21" fillId="2" borderId="1" xfId="0" applyNumberFormat="1"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166" fontId="18" fillId="2" borderId="1" xfId="0" applyNumberFormat="1" applyFont="1" applyFill="1" applyBorder="1" applyAlignment="1">
      <alignment horizontal="center" vertical="top"/>
    </xf>
    <xf numFmtId="0" fontId="19" fillId="2" borderId="3" xfId="0" applyFont="1" applyFill="1" applyBorder="1" applyAlignment="1">
      <alignment vertical="center"/>
    </xf>
    <xf numFmtId="0" fontId="18" fillId="2" borderId="4" xfId="0" applyFont="1" applyFill="1" applyBorder="1" applyAlignment="1">
      <alignment vertical="center"/>
    </xf>
    <xf numFmtId="0" fontId="26" fillId="2" borderId="0" xfId="0" applyFont="1" applyFill="1" applyAlignment="1">
      <alignment horizontal="center"/>
    </xf>
    <xf numFmtId="0" fontId="26" fillId="2" borderId="0" xfId="0" applyFont="1" applyFill="1"/>
    <xf numFmtId="0" fontId="26" fillId="2" borderId="0" xfId="0" applyFont="1" applyFill="1" applyAlignment="1">
      <alignment vertical="top"/>
    </xf>
    <xf numFmtId="0" fontId="26" fillId="2" borderId="0" xfId="0" applyFont="1" applyFill="1" applyAlignment="1">
      <alignment horizontal="center" vertical="center"/>
    </xf>
    <xf numFmtId="0" fontId="26" fillId="2" borderId="0" xfId="0" applyFont="1" applyFill="1" applyAlignment="1">
      <alignment horizontal="center" wrapText="1"/>
    </xf>
    <xf numFmtId="0" fontId="21" fillId="2" borderId="0" xfId="0" applyFont="1" applyFill="1" applyAlignment="1">
      <alignment horizontal="center"/>
    </xf>
    <xf numFmtId="0" fontId="25" fillId="2" borderId="0" xfId="0" applyFont="1" applyFill="1" applyAlignment="1">
      <alignment horizontal="left"/>
    </xf>
    <xf numFmtId="0" fontId="27" fillId="2" borderId="0" xfId="0" applyFont="1" applyFill="1"/>
    <xf numFmtId="166" fontId="21" fillId="2" borderId="0" xfId="0" applyNumberFormat="1" applyFont="1" applyFill="1" applyAlignment="1">
      <alignment horizontal="center" wrapText="1"/>
    </xf>
    <xf numFmtId="0" fontId="25" fillId="2" borderId="0" xfId="0" applyFont="1" applyFill="1"/>
    <xf numFmtId="0" fontId="25" fillId="2" borderId="0" xfId="0" applyFont="1" applyFill="1" applyAlignment="1">
      <alignment horizontal="right"/>
    </xf>
    <xf numFmtId="0" fontId="25" fillId="2" borderId="0" xfId="0" applyFont="1" applyFill="1" applyAlignment="1">
      <alignment horizontal="center" vertical="center"/>
    </xf>
    <xf numFmtId="0" fontId="25" fillId="2" borderId="0" xfId="0" applyFont="1" applyFill="1" applyAlignment="1">
      <alignment wrapText="1"/>
    </xf>
    <xf numFmtId="0" fontId="21" fillId="2" borderId="0" xfId="0" applyFont="1" applyFill="1" applyAlignment="1">
      <alignment wrapText="1"/>
    </xf>
    <xf numFmtId="0" fontId="16" fillId="2" borderId="0" xfId="0" applyFont="1" applyFill="1"/>
    <xf numFmtId="0" fontId="21" fillId="2" borderId="0" xfId="0" applyFont="1" applyFill="1" applyAlignment="1">
      <alignment horizontal="right"/>
    </xf>
    <xf numFmtId="0" fontId="16" fillId="2" borderId="0" xfId="0" applyFont="1" applyFill="1" applyAlignment="1">
      <alignment horizontal="center" vertical="center"/>
    </xf>
    <xf numFmtId="0" fontId="21" fillId="2" borderId="0" xfId="0" applyFont="1" applyFill="1"/>
    <xf numFmtId="0" fontId="16" fillId="2" borderId="0" xfId="0" applyFont="1" applyFill="1" applyAlignment="1">
      <alignment wrapText="1"/>
    </xf>
    <xf numFmtId="0" fontId="13" fillId="2" borderId="0" xfId="0" applyFont="1" applyFill="1" applyAlignment="1">
      <alignment wrapText="1"/>
    </xf>
    <xf numFmtId="0" fontId="21" fillId="2" borderId="0" xfId="0" applyFont="1" applyFill="1" applyAlignment="1">
      <alignment horizontal="left"/>
    </xf>
    <xf numFmtId="0" fontId="14" fillId="2" borderId="5" xfId="0" applyFont="1" applyFill="1" applyBorder="1" applyAlignment="1">
      <alignment vertical="top"/>
    </xf>
    <xf numFmtId="0" fontId="14" fillId="2" borderId="10" xfId="0" applyFont="1" applyFill="1" applyBorder="1" applyAlignment="1">
      <alignment vertical="top"/>
    </xf>
    <xf numFmtId="49" fontId="21" fillId="2" borderId="2" xfId="0" applyNumberFormat="1" applyFont="1" applyFill="1" applyBorder="1" applyAlignment="1">
      <alignment vertical="top" wrapText="1"/>
    </xf>
    <xf numFmtId="0" fontId="21" fillId="2" borderId="2" xfId="0" applyFont="1" applyFill="1" applyBorder="1" applyAlignment="1">
      <alignment vertical="top" wrapText="1"/>
    </xf>
    <xf numFmtId="0" fontId="21" fillId="2" borderId="2" xfId="3" applyFont="1" applyFill="1" applyBorder="1" applyAlignment="1">
      <alignment vertical="top" wrapText="1"/>
    </xf>
    <xf numFmtId="0" fontId="21" fillId="2" borderId="1" xfId="0" applyFont="1" applyFill="1" applyBorder="1" applyAlignment="1">
      <alignment horizontal="center" vertical="top" wrapText="1"/>
    </xf>
    <xf numFmtId="0" fontId="14" fillId="2" borderId="0" xfId="0" applyFont="1" applyFill="1" applyBorder="1" applyAlignment="1">
      <alignment horizontal="left" vertical="top" wrapText="1"/>
    </xf>
    <xf numFmtId="0" fontId="13" fillId="2" borderId="1" xfId="0" applyFont="1" applyFill="1" applyBorder="1" applyAlignment="1">
      <alignment vertical="top" wrapText="1"/>
    </xf>
    <xf numFmtId="0" fontId="18" fillId="2" borderId="3" xfId="0" applyFont="1" applyFill="1" applyBorder="1" applyAlignment="1">
      <alignment vertical="center"/>
    </xf>
    <xf numFmtId="166" fontId="18" fillId="2" borderId="2"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3" fillId="2" borderId="12" xfId="0" applyFont="1" applyFill="1" applyBorder="1" applyAlignment="1">
      <alignment vertical="top" wrapText="1"/>
    </xf>
    <xf numFmtId="0" fontId="13" fillId="2" borderId="9" xfId="0" applyFont="1" applyFill="1" applyBorder="1" applyAlignment="1">
      <alignment vertical="top" wrapText="1"/>
    </xf>
    <xf numFmtId="3" fontId="9" fillId="2" borderId="0" xfId="0" applyNumberFormat="1" applyFont="1" applyFill="1"/>
    <xf numFmtId="3" fontId="21" fillId="2" borderId="0" xfId="0" applyNumberFormat="1" applyFont="1" applyFill="1" applyAlignment="1">
      <alignment horizontal="left"/>
    </xf>
    <xf numFmtId="3" fontId="9" fillId="2" borderId="0" xfId="0" applyNumberFormat="1" applyFont="1" applyFill="1" applyBorder="1"/>
    <xf numFmtId="3" fontId="21" fillId="2" borderId="0" xfId="0" applyNumberFormat="1" applyFont="1" applyFill="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8" fillId="2" borderId="1" xfId="0" applyNumberFormat="1" applyFont="1" applyFill="1" applyBorder="1" applyAlignment="1">
      <alignment horizontal="left" vertical="top" wrapText="1"/>
    </xf>
    <xf numFmtId="3" fontId="14" fillId="2" borderId="1" xfId="0" applyNumberFormat="1" applyFont="1" applyFill="1" applyBorder="1" applyAlignment="1">
      <alignment horizontal="center"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left" vertical="top" wrapText="1"/>
    </xf>
    <xf numFmtId="3" fontId="13" fillId="2" borderId="1" xfId="0" applyNumberFormat="1" applyFont="1" applyFill="1" applyBorder="1" applyAlignment="1">
      <alignment horizontal="center" vertical="top" wrapText="1"/>
    </xf>
    <xf numFmtId="3" fontId="10" fillId="2" borderId="1" xfId="0" applyNumberFormat="1" applyFont="1" applyFill="1" applyBorder="1" applyAlignment="1">
      <alignment horizontal="center" vertical="top"/>
    </xf>
    <xf numFmtId="0" fontId="13" fillId="2" borderId="1" xfId="0" applyFont="1" applyFill="1" applyBorder="1" applyAlignment="1">
      <alignment horizontal="left" vertical="top" wrapText="1"/>
    </xf>
    <xf numFmtId="3" fontId="13" fillId="2" borderId="1" xfId="0" applyNumberFormat="1" applyFont="1" applyFill="1" applyBorder="1" applyAlignment="1">
      <alignment horizontal="center" vertical="top"/>
    </xf>
    <xf numFmtId="3" fontId="13" fillId="2" borderId="1" xfId="7" applyNumberFormat="1" applyFont="1" applyFill="1" applyBorder="1" applyAlignment="1">
      <alignment horizontal="left" vertical="top" wrapText="1"/>
    </xf>
    <xf numFmtId="3" fontId="13" fillId="2" borderId="0" xfId="0" applyNumberFormat="1" applyFont="1" applyFill="1" applyAlignment="1">
      <alignment horizontal="left" vertical="top" wrapText="1"/>
    </xf>
    <xf numFmtId="3" fontId="13" fillId="2" borderId="1" xfId="8" applyNumberFormat="1" applyFont="1" applyFill="1" applyBorder="1" applyAlignment="1">
      <alignment horizontal="left" vertical="top" wrapText="1"/>
    </xf>
    <xf numFmtId="0" fontId="13" fillId="2" borderId="1" xfId="7" applyFont="1" applyFill="1" applyBorder="1" applyAlignment="1">
      <alignment horizontal="left" vertical="top" wrapText="1"/>
    </xf>
    <xf numFmtId="4" fontId="13" fillId="2" borderId="1" xfId="0" applyNumberFormat="1" applyFont="1" applyFill="1" applyBorder="1" applyAlignment="1">
      <alignment horizontal="center" vertical="top" wrapText="1"/>
    </xf>
    <xf numFmtId="3" fontId="13" fillId="2" borderId="1" xfId="0" applyNumberFormat="1" applyFont="1" applyFill="1" applyBorder="1" applyAlignment="1">
      <alignment vertical="top" wrapText="1"/>
    </xf>
    <xf numFmtId="3" fontId="10" fillId="2" borderId="1" xfId="0" applyNumberFormat="1" applyFont="1" applyFill="1" applyBorder="1" applyAlignment="1">
      <alignment vertical="top" wrapText="1"/>
    </xf>
    <xf numFmtId="4" fontId="13" fillId="2" borderId="1" xfId="0" applyNumberFormat="1" applyFont="1" applyFill="1" applyBorder="1" applyAlignment="1">
      <alignment vertical="top" wrapText="1"/>
    </xf>
    <xf numFmtId="3" fontId="9" fillId="2" borderId="1" xfId="0" applyNumberFormat="1" applyFont="1" applyFill="1" applyBorder="1" applyAlignment="1">
      <alignment horizontal="center" vertical="top"/>
    </xf>
    <xf numFmtId="3" fontId="9" fillId="2" borderId="0" xfId="0" applyNumberFormat="1" applyFont="1" applyFill="1" applyAlignment="1">
      <alignment horizontal="center" vertical="top"/>
    </xf>
    <xf numFmtId="3" fontId="10" fillId="2" borderId="1" xfId="7" applyNumberFormat="1" applyFont="1" applyFill="1" applyBorder="1" applyAlignment="1">
      <alignment horizontal="left" vertical="top" wrapText="1"/>
    </xf>
    <xf numFmtId="3" fontId="10" fillId="2" borderId="1" xfId="0" applyNumberFormat="1" applyFont="1" applyFill="1" applyBorder="1" applyAlignment="1">
      <alignment horizontal="left" vertical="top" wrapText="1" shrinkToFit="1"/>
    </xf>
    <xf numFmtId="3" fontId="9" fillId="2" borderId="1" xfId="0" applyNumberFormat="1" applyFont="1" applyFill="1" applyBorder="1"/>
    <xf numFmtId="3" fontId="9" fillId="2" borderId="1" xfId="0" applyNumberFormat="1" applyFont="1" applyFill="1" applyBorder="1" applyAlignment="1">
      <alignment horizontal="center"/>
    </xf>
    <xf numFmtId="3" fontId="13" fillId="2" borderId="6" xfId="7" applyNumberFormat="1" applyFont="1" applyFill="1" applyBorder="1" applyAlignment="1">
      <alignment horizontal="left" vertical="top" wrapText="1"/>
    </xf>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6" fillId="2" borderId="0" xfId="0" applyNumberFormat="1" applyFont="1" applyFill="1"/>
    <xf numFmtId="3" fontId="16" fillId="2" borderId="0" xfId="0" applyNumberFormat="1" applyFont="1" applyFill="1" applyAlignment="1">
      <alignment horizontal="center"/>
    </xf>
    <xf numFmtId="3" fontId="13" fillId="2" borderId="0" xfId="0" applyNumberFormat="1" applyFont="1" applyFill="1" applyAlignment="1">
      <alignment horizontal="left"/>
    </xf>
    <xf numFmtId="3" fontId="16" fillId="2" borderId="0" xfId="0" applyNumberFormat="1" applyFont="1" applyFill="1" applyAlignment="1">
      <alignment horizontal="right"/>
    </xf>
    <xf numFmtId="3" fontId="16" fillId="2" borderId="0" xfId="0" applyNumberFormat="1" applyFont="1" applyFill="1" applyAlignment="1">
      <alignment horizontal="center" vertical="center"/>
    </xf>
    <xf numFmtId="3" fontId="16" fillId="2" borderId="0" xfId="0" applyNumberFormat="1" applyFont="1" applyFill="1" applyAlignment="1">
      <alignment wrapText="1"/>
    </xf>
    <xf numFmtId="3" fontId="13" fillId="2" borderId="0" xfId="0" applyNumberFormat="1" applyFont="1" applyFill="1" applyAlignment="1">
      <alignment wrapText="1"/>
    </xf>
    <xf numFmtId="3" fontId="3" fillId="2" borderId="0" xfId="0" applyNumberFormat="1" applyFont="1" applyFill="1" applyAlignment="1">
      <alignment vertical="top" wrapText="1"/>
    </xf>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horizontal="center"/>
    </xf>
    <xf numFmtId="3" fontId="13" fillId="2" borderId="0" xfId="0" applyNumberFormat="1" applyFont="1" applyFill="1" applyAlignment="1">
      <alignment vertical="top"/>
    </xf>
    <xf numFmtId="3" fontId="9" fillId="2" borderId="0" xfId="0" applyNumberFormat="1" applyFont="1" applyFill="1" applyAlignment="1">
      <alignment vertical="top" wrapText="1"/>
    </xf>
    <xf numFmtId="49" fontId="13" fillId="2" borderId="1" xfId="0" applyNumberFormat="1" applyFont="1" applyFill="1" applyBorder="1" applyAlignment="1">
      <alignment horizontal="center" vertical="top" wrapText="1"/>
    </xf>
    <xf numFmtId="0" fontId="16" fillId="2" borderId="0" xfId="0" applyFont="1" applyFill="1" applyAlignment="1">
      <alignment vertical="top" wrapText="1"/>
    </xf>
    <xf numFmtId="0" fontId="21" fillId="2" borderId="1" xfId="3" applyFont="1" applyFill="1" applyBorder="1" applyAlignment="1">
      <alignment vertical="top" wrapText="1"/>
    </xf>
    <xf numFmtId="166" fontId="16" fillId="2" borderId="12" xfId="0" applyNumberFormat="1" applyFont="1" applyFill="1" applyBorder="1" applyAlignment="1">
      <alignment horizontal="center" vertical="top" wrapText="1"/>
    </xf>
    <xf numFmtId="166" fontId="16" fillId="2" borderId="6" xfId="0" applyNumberFormat="1" applyFont="1" applyFill="1" applyBorder="1" applyAlignment="1">
      <alignment horizontal="center" vertical="top" wrapText="1"/>
    </xf>
    <xf numFmtId="0" fontId="16" fillId="2" borderId="8" xfId="0" applyFont="1" applyFill="1" applyBorder="1" applyAlignment="1">
      <alignment horizontal="center" vertical="top" wrapText="1"/>
    </xf>
    <xf numFmtId="0" fontId="26" fillId="2" borderId="0" xfId="0" applyFont="1" applyFill="1" applyAlignment="1">
      <alignment vertical="top" wrapText="1"/>
    </xf>
    <xf numFmtId="0" fontId="21" fillId="2" borderId="1" xfId="0" applyFont="1" applyFill="1" applyBorder="1" applyAlignment="1">
      <alignment horizontal="center" vertical="center" wrapText="1"/>
    </xf>
    <xf numFmtId="0" fontId="21" fillId="2" borderId="2" xfId="0" applyNumberFormat="1" applyFont="1" applyFill="1" applyBorder="1" applyAlignment="1">
      <alignment horizontal="left" vertical="top" wrapText="1"/>
    </xf>
    <xf numFmtId="164" fontId="18" fillId="2" borderId="1" xfId="0" applyNumberFormat="1" applyFont="1" applyFill="1" applyBorder="1" applyAlignment="1">
      <alignment horizontal="center" vertical="top" wrapText="1"/>
    </xf>
    <xf numFmtId="164" fontId="18"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16" fontId="14" fillId="2" borderId="9" xfId="0" applyNumberFormat="1" applyFont="1" applyFill="1" applyBorder="1" applyAlignment="1">
      <alignment vertical="top"/>
    </xf>
    <xf numFmtId="16" fontId="14" fillId="2" borderId="6" xfId="0" applyNumberFormat="1" applyFont="1" applyFill="1" applyBorder="1" applyAlignment="1">
      <alignment horizontal="center" vertical="top"/>
    </xf>
    <xf numFmtId="0" fontId="21" fillId="2" borderId="6" xfId="3" applyFont="1" applyFill="1" applyBorder="1" applyAlignment="1">
      <alignment vertical="top" wrapText="1"/>
    </xf>
    <xf numFmtId="3" fontId="13" fillId="2" borderId="0" xfId="0" applyNumberFormat="1" applyFont="1" applyFill="1" applyBorder="1" applyAlignment="1">
      <alignment horizontal="left" vertical="top" wrapText="1"/>
    </xf>
    <xf numFmtId="3" fontId="9" fillId="2" borderId="0" xfId="0" applyNumberFormat="1" applyFont="1" applyFill="1" applyBorder="1" applyAlignment="1">
      <alignment horizontal="center"/>
    </xf>
    <xf numFmtId="1" fontId="13"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xf>
    <xf numFmtId="3" fontId="11" fillId="2" borderId="1" xfId="0" applyNumberFormat="1" applyFont="1" applyFill="1" applyBorder="1"/>
    <xf numFmtId="3" fontId="11" fillId="2" borderId="1" xfId="0" applyNumberFormat="1" applyFont="1" applyFill="1" applyBorder="1" applyAlignment="1"/>
    <xf numFmtId="0" fontId="3" fillId="2" borderId="1" xfId="0" applyFont="1" applyFill="1" applyBorder="1" applyAlignment="1">
      <alignment horizontal="center" vertical="center" wrapText="1"/>
    </xf>
    <xf numFmtId="164" fontId="9" fillId="2" borderId="0" xfId="0" applyNumberFormat="1" applyFont="1" applyFill="1"/>
    <xf numFmtId="3" fontId="9" fillId="2" borderId="0" xfId="0" applyNumberFormat="1" applyFont="1" applyFill="1" applyAlignment="1">
      <alignment horizontal="right"/>
    </xf>
    <xf numFmtId="3" fontId="9" fillId="2" borderId="0" xfId="0" applyNumberFormat="1" applyFont="1" applyFill="1" applyAlignment="1">
      <alignment horizontal="center" vertical="center"/>
    </xf>
    <xf numFmtId="3" fontId="9" fillId="2" borderId="0" xfId="0" applyNumberFormat="1" applyFont="1" applyFill="1" applyAlignment="1">
      <alignment wrapText="1"/>
    </xf>
    <xf numFmtId="3" fontId="9" fillId="2" borderId="0" xfId="0" applyNumberFormat="1" applyFont="1" applyFill="1" applyAlignment="1">
      <alignment horizontal="left"/>
    </xf>
    <xf numFmtId="3" fontId="9" fillId="2" borderId="0" xfId="0" applyNumberFormat="1" applyFont="1" applyFill="1" applyAlignment="1">
      <alignment vertical="top"/>
    </xf>
    <xf numFmtId="166" fontId="13" fillId="2" borderId="1" xfId="0" applyNumberFormat="1" applyFont="1" applyFill="1" applyBorder="1" applyAlignment="1">
      <alignment horizontal="center" vertical="top"/>
    </xf>
    <xf numFmtId="0" fontId="13" fillId="2" borderId="0" xfId="0" applyFont="1" applyFill="1"/>
    <xf numFmtId="166" fontId="13" fillId="2" borderId="0" xfId="0" applyNumberFormat="1" applyFont="1" applyFill="1" applyAlignment="1">
      <alignment wrapText="1"/>
    </xf>
    <xf numFmtId="166" fontId="10" fillId="2" borderId="9" xfId="0" applyNumberFormat="1" applyFont="1" applyFill="1" applyBorder="1" applyAlignment="1">
      <alignment horizontal="center" vertical="top"/>
    </xf>
    <xf numFmtId="166" fontId="10" fillId="2" borderId="1" xfId="0" applyNumberFormat="1" applyFont="1" applyFill="1" applyBorder="1" applyAlignment="1">
      <alignment horizontal="center" vertical="top"/>
    </xf>
    <xf numFmtId="164" fontId="10"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6" xfId="0" applyFont="1" applyFill="1" applyBorder="1" applyAlignment="1">
      <alignment horizontal="center" vertical="center" wrapText="1"/>
    </xf>
    <xf numFmtId="0" fontId="11" fillId="2" borderId="1" xfId="0" applyFont="1" applyFill="1" applyBorder="1" applyAlignment="1">
      <alignment vertical="top" wrapText="1"/>
    </xf>
    <xf numFmtId="0" fontId="16" fillId="2" borderId="6" xfId="0" applyFont="1" applyFill="1" applyBorder="1" applyAlignment="1">
      <alignment vertical="top" wrapText="1"/>
    </xf>
    <xf numFmtId="0" fontId="21" fillId="2" borderId="12" xfId="0" applyFont="1" applyFill="1" applyBorder="1" applyAlignment="1">
      <alignment vertical="center" wrapText="1"/>
    </xf>
    <xf numFmtId="0" fontId="25" fillId="2" borderId="0" xfId="0" applyFont="1" applyFill="1" applyAlignment="1">
      <alignment vertical="top" wrapText="1"/>
    </xf>
    <xf numFmtId="0" fontId="14" fillId="2" borderId="8" xfId="0" applyFont="1" applyFill="1" applyBorder="1" applyAlignment="1">
      <alignment horizontal="left" vertical="top" wrapText="1"/>
    </xf>
    <xf numFmtId="0" fontId="3" fillId="2" borderId="2" xfId="0" applyFont="1" applyFill="1" applyBorder="1" applyAlignment="1">
      <alignment horizontal="center" vertical="center" wrapText="1"/>
    </xf>
    <xf numFmtId="166" fontId="23" fillId="2" borderId="0" xfId="0" applyNumberFormat="1" applyFont="1" applyFill="1"/>
    <xf numFmtId="166" fontId="16" fillId="2" borderId="0" xfId="0" applyNumberFormat="1" applyFont="1" applyFill="1"/>
    <xf numFmtId="0" fontId="13" fillId="2" borderId="1"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2" xfId="0" applyFont="1" applyFill="1" applyBorder="1" applyAlignment="1">
      <alignment horizontal="left" vertical="top" wrapText="1"/>
    </xf>
    <xf numFmtId="166" fontId="13" fillId="2" borderId="2" xfId="0" applyNumberFormat="1" applyFont="1" applyFill="1" applyBorder="1" applyAlignment="1">
      <alignment horizontal="center" vertical="top" wrapText="1"/>
    </xf>
    <xf numFmtId="166" fontId="21" fillId="2" borderId="0" xfId="0" applyNumberFormat="1" applyFont="1" applyFill="1"/>
    <xf numFmtId="164" fontId="29" fillId="2" borderId="0" xfId="0" applyNumberFormat="1" applyFont="1" applyFill="1"/>
    <xf numFmtId="0" fontId="13" fillId="2" borderId="2" xfId="3" applyFont="1" applyFill="1" applyBorder="1" applyAlignment="1">
      <alignment vertical="top" wrapText="1"/>
    </xf>
    <xf numFmtId="0" fontId="13" fillId="2" borderId="9" xfId="0" applyFont="1" applyFill="1" applyBorder="1" applyAlignment="1">
      <alignment horizontal="center" vertical="top"/>
    </xf>
    <xf numFmtId="0" fontId="13" fillId="2" borderId="1" xfId="0" applyFont="1" applyFill="1" applyBorder="1" applyAlignment="1">
      <alignment horizontal="center" vertical="top"/>
    </xf>
    <xf numFmtId="0" fontId="13" fillId="2" borderId="1" xfId="3" applyFont="1" applyFill="1" applyBorder="1" applyAlignment="1">
      <alignment horizontal="left" vertical="top" wrapText="1"/>
    </xf>
    <xf numFmtId="166" fontId="13" fillId="2" borderId="9" xfId="0" applyNumberFormat="1" applyFont="1" applyFill="1" applyBorder="1" applyAlignment="1">
      <alignment horizontal="center" vertical="top"/>
    </xf>
    <xf numFmtId="0" fontId="9" fillId="2" borderId="6" xfId="0" applyFont="1" applyFill="1" applyBorder="1" applyAlignment="1">
      <alignment horizontal="center" vertical="top" wrapText="1"/>
    </xf>
    <xf numFmtId="0" fontId="13" fillId="2" borderId="6" xfId="0" applyFont="1" applyFill="1" applyBorder="1" applyAlignment="1">
      <alignment horizontal="left" vertical="top" wrapText="1"/>
    </xf>
    <xf numFmtId="0" fontId="30" fillId="2" borderId="0" xfId="0" applyFont="1" applyFill="1" applyAlignment="1">
      <alignment vertical="top"/>
    </xf>
    <xf numFmtId="0" fontId="25" fillId="2" borderId="0" xfId="0" applyFont="1" applyFill="1" applyAlignment="1">
      <alignment horizontal="left" wrapText="1"/>
    </xf>
    <xf numFmtId="0" fontId="25" fillId="2" borderId="0" xfId="0" applyFont="1" applyFill="1" applyAlignment="1">
      <alignment horizontal="justify" wrapText="1"/>
    </xf>
    <xf numFmtId="3" fontId="23" fillId="2" borderId="0" xfId="0" applyNumberFormat="1" applyFont="1" applyFill="1" applyAlignment="1">
      <alignment horizontal="left"/>
    </xf>
    <xf numFmtId="3" fontId="23" fillId="2" borderId="0" xfId="0" applyNumberFormat="1" applyFont="1" applyFill="1"/>
    <xf numFmtId="0" fontId="13" fillId="2" borderId="9" xfId="3" applyFont="1" applyFill="1" applyBorder="1" applyAlignment="1">
      <alignment horizontal="center" vertical="top" wrapText="1"/>
    </xf>
    <xf numFmtId="0" fontId="21" fillId="2" borderId="1"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0" applyFont="1" applyFill="1" applyBorder="1" applyAlignment="1">
      <alignment horizontal="center" vertical="top" wrapText="1"/>
    </xf>
    <xf numFmtId="49" fontId="21" fillId="2" borderId="12" xfId="0" applyNumberFormat="1" applyFont="1" applyFill="1" applyBorder="1" applyAlignment="1">
      <alignment horizontal="left" vertical="top" wrapText="1"/>
    </xf>
    <xf numFmtId="49" fontId="21" fillId="2" borderId="9" xfId="0" applyNumberFormat="1" applyFont="1" applyFill="1" applyBorder="1" applyAlignment="1">
      <alignment horizontal="left" vertical="top" wrapText="1"/>
    </xf>
    <xf numFmtId="0" fontId="21" fillId="2" borderId="6" xfId="0" applyFont="1" applyFill="1" applyBorder="1" applyAlignment="1">
      <alignment horizontal="left" vertical="top" wrapText="1"/>
    </xf>
    <xf numFmtId="0" fontId="21" fillId="2" borderId="12" xfId="0" applyFont="1" applyFill="1" applyBorder="1" applyAlignment="1">
      <alignment horizontal="left" vertical="top" wrapText="1"/>
    </xf>
    <xf numFmtId="0" fontId="21" fillId="2" borderId="9" xfId="0" applyFont="1" applyFill="1" applyBorder="1" applyAlignment="1">
      <alignment horizontal="left" vertical="top" wrapText="1"/>
    </xf>
    <xf numFmtId="0" fontId="21" fillId="2" borderId="6" xfId="0" applyFont="1" applyFill="1" applyBorder="1" applyAlignment="1">
      <alignment horizontal="left" vertical="center" wrapText="1"/>
    </xf>
    <xf numFmtId="0" fontId="21" fillId="2" borderId="1" xfId="3" applyFont="1" applyFill="1" applyBorder="1" applyAlignment="1">
      <alignment horizontal="left" vertical="top" wrapText="1"/>
    </xf>
    <xf numFmtId="0" fontId="21" fillId="2" borderId="6" xfId="0" applyFont="1" applyFill="1" applyBorder="1" applyAlignment="1">
      <alignment vertical="top" wrapText="1"/>
    </xf>
    <xf numFmtId="0" fontId="21" fillId="2" borderId="12" xfId="0" applyFont="1" applyFill="1" applyBorder="1" applyAlignment="1">
      <alignment vertical="top" wrapText="1"/>
    </xf>
    <xf numFmtId="0" fontId="21" fillId="2" borderId="9" xfId="0" applyFont="1" applyFill="1" applyBorder="1" applyAlignment="1">
      <alignment vertical="top" wrapText="1"/>
    </xf>
    <xf numFmtId="0" fontId="21" fillId="2" borderId="6" xfId="3" applyFont="1" applyFill="1" applyBorder="1" applyAlignment="1">
      <alignment horizontal="left" vertical="top" wrapText="1"/>
    </xf>
    <xf numFmtId="0" fontId="21" fillId="2" borderId="12" xfId="3" applyFont="1" applyFill="1" applyBorder="1" applyAlignment="1">
      <alignment horizontal="left" vertical="top" wrapText="1"/>
    </xf>
    <xf numFmtId="0" fontId="21" fillId="2" borderId="9" xfId="3" applyFont="1" applyFill="1" applyBorder="1" applyAlignment="1">
      <alignment horizontal="left" vertical="top" wrapText="1"/>
    </xf>
    <xf numFmtId="0" fontId="16" fillId="2" borderId="12"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3" fillId="2" borderId="1" xfId="0" applyFont="1" applyFill="1" applyBorder="1" applyAlignment="1">
      <alignment horizontal="center" vertical="top" wrapText="1"/>
    </xf>
    <xf numFmtId="49" fontId="13" fillId="2" borderId="2" xfId="0" applyNumberFormat="1" applyFont="1" applyFill="1" applyBorder="1" applyAlignment="1">
      <alignment horizontal="left" vertical="top" wrapText="1"/>
    </xf>
    <xf numFmtId="0" fontId="18"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21" fillId="2" borderId="2" xfId="0" applyFont="1" applyFill="1" applyBorder="1" applyAlignment="1">
      <alignment horizontal="left" vertical="top" wrapText="1"/>
    </xf>
    <xf numFmtId="0" fontId="16" fillId="2" borderId="1" xfId="0" applyFont="1" applyFill="1" applyBorder="1" applyAlignment="1">
      <alignment horizontal="center" vertical="top" wrapText="1"/>
    </xf>
    <xf numFmtId="0" fontId="21" fillId="2" borderId="1" xfId="0" applyFont="1" applyFill="1" applyBorder="1" applyAlignment="1">
      <alignment vertical="top" wrapText="1"/>
    </xf>
    <xf numFmtId="0" fontId="1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8" fillId="2" borderId="9" xfId="0" applyFont="1" applyFill="1" applyBorder="1" applyAlignment="1">
      <alignment horizontal="left" vertical="top" wrapText="1"/>
    </xf>
    <xf numFmtId="0" fontId="10" fillId="2" borderId="6" xfId="0" applyFont="1" applyFill="1" applyBorder="1" applyAlignment="1">
      <alignment horizontal="center" vertical="top" wrapText="1"/>
    </xf>
    <xf numFmtId="0" fontId="21" fillId="2" borderId="1" xfId="0" applyFont="1" applyFill="1" applyBorder="1" applyAlignment="1">
      <alignment horizontal="left" vertical="center" wrapText="1"/>
    </xf>
    <xf numFmtId="0" fontId="16" fillId="2" borderId="9" xfId="0" applyFont="1" applyFill="1" applyBorder="1" applyAlignment="1">
      <alignment horizontal="center" vertical="top" wrapText="1"/>
    </xf>
    <xf numFmtId="0" fontId="14"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49" fontId="13" fillId="2" borderId="6" xfId="0" applyNumberFormat="1" applyFont="1" applyFill="1" applyBorder="1" applyAlignment="1">
      <alignment horizontal="center" vertical="top" wrapText="1"/>
    </xf>
    <xf numFmtId="3" fontId="10" fillId="2" borderId="1" xfId="0" applyNumberFormat="1" applyFont="1" applyFill="1" applyBorder="1" applyAlignment="1">
      <alignment horizontal="left" vertical="top" wrapText="1"/>
    </xf>
    <xf numFmtId="3" fontId="10" fillId="2" borderId="4" xfId="0" applyNumberFormat="1" applyFont="1" applyFill="1" applyBorder="1" applyAlignment="1">
      <alignment horizontal="left" vertical="top" wrapText="1"/>
    </xf>
    <xf numFmtId="3" fontId="10" fillId="2" borderId="2" xfId="0" applyNumberFormat="1" applyFont="1" applyFill="1" applyBorder="1" applyAlignment="1">
      <alignment horizontal="left" vertical="top" wrapText="1"/>
    </xf>
    <xf numFmtId="3" fontId="10" fillId="2" borderId="1" xfId="0" applyNumberFormat="1" applyFont="1" applyFill="1" applyBorder="1" applyAlignment="1">
      <alignment horizontal="left" vertical="top"/>
    </xf>
    <xf numFmtId="3" fontId="10" fillId="2" borderId="1" xfId="6"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1" xfId="0" applyNumberFormat="1" applyFont="1" applyFill="1" applyBorder="1" applyAlignment="1">
      <alignment horizontal="left" vertical="top"/>
    </xf>
    <xf numFmtId="3" fontId="10" fillId="2" borderId="3" xfId="6"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13" xfId="0" applyFont="1" applyFill="1" applyBorder="1" applyAlignment="1">
      <alignment horizontal="center" vertical="top"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8" fillId="2" borderId="6" xfId="0" applyFont="1" applyFill="1" applyBorder="1" applyAlignment="1">
      <alignment horizontal="center" vertical="top" wrapText="1"/>
    </xf>
    <xf numFmtId="0" fontId="18" fillId="2" borderId="12" xfId="0" applyFont="1" applyFill="1" applyBorder="1" applyAlignment="1">
      <alignment horizontal="center" vertical="top" wrapText="1"/>
    </xf>
    <xf numFmtId="0" fontId="18" fillId="2" borderId="9" xfId="0" applyFont="1" applyFill="1" applyBorder="1" applyAlignment="1">
      <alignment horizontal="center" vertical="top" wrapText="1"/>
    </xf>
    <xf numFmtId="0" fontId="11" fillId="2" borderId="6" xfId="0" applyFont="1" applyFill="1" applyBorder="1" applyAlignment="1">
      <alignment horizontal="center" vertical="top"/>
    </xf>
    <xf numFmtId="0" fontId="11" fillId="2" borderId="12" xfId="0" applyFont="1" applyFill="1" applyBorder="1" applyAlignment="1">
      <alignment horizontal="center" vertical="top"/>
    </xf>
    <xf numFmtId="0" fontId="11" fillId="2" borderId="9" xfId="0" applyFont="1" applyFill="1" applyBorder="1" applyAlignment="1">
      <alignment horizontal="center" vertical="top"/>
    </xf>
    <xf numFmtId="0" fontId="13" fillId="2" borderId="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21" fillId="2" borderId="6" xfId="0" applyNumberFormat="1" applyFont="1" applyFill="1" applyBorder="1" applyAlignment="1">
      <alignment horizontal="left" vertical="top" wrapText="1"/>
    </xf>
    <xf numFmtId="0" fontId="21"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center" vertical="top" wrapText="1"/>
    </xf>
    <xf numFmtId="49" fontId="13" fillId="2" borderId="9" xfId="0" applyNumberFormat="1" applyFont="1" applyFill="1" applyBorder="1" applyAlignment="1">
      <alignment horizontal="center" vertical="top" wrapText="1"/>
    </xf>
    <xf numFmtId="0" fontId="21" fillId="2" borderId="6" xfId="0" applyFont="1" applyFill="1" applyBorder="1" applyAlignment="1">
      <alignment horizontal="left" vertical="top" wrapText="1"/>
    </xf>
    <xf numFmtId="0" fontId="21" fillId="2" borderId="9" xfId="0" applyFont="1" applyFill="1" applyBorder="1" applyAlignment="1">
      <alignment horizontal="left" vertical="top"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4" fillId="2" borderId="1" xfId="0" applyFont="1" applyFill="1" applyBorder="1" applyAlignment="1">
      <alignment horizontal="center" vertical="top"/>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6" fillId="2" borderId="6" xfId="0" applyFont="1" applyFill="1" applyBorder="1" applyAlignment="1">
      <alignment horizontal="center" vertical="top" wrapText="1"/>
    </xf>
    <xf numFmtId="0" fontId="16" fillId="2" borderId="9" xfId="0" applyFont="1" applyFill="1" applyBorder="1" applyAlignment="1">
      <alignment horizontal="center" vertical="top" wrapText="1"/>
    </xf>
    <xf numFmtId="0" fontId="14" fillId="2" borderId="9" xfId="0" applyFont="1" applyFill="1" applyBorder="1" applyAlignment="1">
      <alignment horizontal="center" vertical="top"/>
    </xf>
    <xf numFmtId="0" fontId="21" fillId="2" borderId="12"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1"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8" xfId="0" applyFont="1" applyFill="1" applyBorder="1" applyAlignment="1">
      <alignment horizontal="left" vertical="top" wrapText="1"/>
    </xf>
    <xf numFmtId="0" fontId="21" fillId="2" borderId="1" xfId="0" applyFont="1" applyFill="1" applyBorder="1" applyAlignment="1">
      <alignment horizontal="left" vertical="top" wrapText="1"/>
    </xf>
    <xf numFmtId="0" fontId="14" fillId="2" borderId="5"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11"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8" xfId="0" applyFont="1" applyFill="1" applyBorder="1" applyAlignment="1">
      <alignment horizontal="center" vertical="top" wrapText="1"/>
    </xf>
    <xf numFmtId="0" fontId="21" fillId="2" borderId="5"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0"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6" xfId="3" applyFont="1" applyFill="1" applyBorder="1" applyAlignment="1">
      <alignment horizontal="left" vertical="top" wrapText="1"/>
    </xf>
    <xf numFmtId="0" fontId="21" fillId="2" borderId="12" xfId="3" applyFont="1" applyFill="1" applyBorder="1" applyAlignment="1">
      <alignment horizontal="left" vertical="top" wrapText="1"/>
    </xf>
    <xf numFmtId="0" fontId="21" fillId="2" borderId="9" xfId="3"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9" xfId="0" applyFont="1" applyFill="1" applyBorder="1" applyAlignment="1">
      <alignment horizontal="center" vertical="top" wrapText="1"/>
    </xf>
    <xf numFmtId="49" fontId="18" fillId="2" borderId="1" xfId="0" applyNumberFormat="1" applyFont="1" applyFill="1" applyBorder="1" applyAlignment="1">
      <alignment horizontal="left" vertical="top" wrapText="1"/>
    </xf>
    <xf numFmtId="0" fontId="21" fillId="2" borderId="12" xfId="0" applyFont="1" applyFill="1" applyBorder="1" applyAlignment="1">
      <alignment horizontal="center" vertical="top" wrapText="1"/>
    </xf>
    <xf numFmtId="0" fontId="13" fillId="2" borderId="12" xfId="0" applyFont="1" applyFill="1" applyBorder="1" applyAlignment="1">
      <alignment horizontal="center" vertical="top" wrapText="1"/>
    </xf>
    <xf numFmtId="0" fontId="21" fillId="2" borderId="1" xfId="3" applyFont="1" applyFill="1" applyBorder="1" applyAlignment="1">
      <alignment horizontal="left" vertical="top" wrapText="1"/>
    </xf>
    <xf numFmtId="0" fontId="18"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3" fillId="2" borderId="1" xfId="3" applyFont="1" applyFill="1" applyBorder="1" applyAlignment="1">
      <alignment horizontal="center" vertical="top" wrapText="1"/>
    </xf>
    <xf numFmtId="0" fontId="18" fillId="2" borderId="3"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1" xfId="0" applyFont="1" applyFill="1" applyBorder="1" applyAlignment="1">
      <alignment horizontal="left" vertical="center" wrapText="1"/>
    </xf>
    <xf numFmtId="0" fontId="18" fillId="2" borderId="6" xfId="0" applyFont="1" applyFill="1" applyBorder="1" applyAlignment="1">
      <alignment horizontal="left" vertical="top" wrapText="1"/>
    </xf>
    <xf numFmtId="0" fontId="18" fillId="2" borderId="12" xfId="0" applyFont="1" applyFill="1" applyBorder="1" applyAlignment="1">
      <alignment horizontal="left" vertical="top" wrapText="1"/>
    </xf>
    <xf numFmtId="0" fontId="14" fillId="2" borderId="1" xfId="0" applyFont="1" applyFill="1" applyBorder="1" applyAlignment="1">
      <alignment horizontal="center" vertical="top" wrapText="1"/>
    </xf>
    <xf numFmtId="0" fontId="18" fillId="2" borderId="1" xfId="0" applyFont="1" applyFill="1" applyBorder="1" applyAlignment="1">
      <alignment horizontal="left" vertical="top"/>
    </xf>
    <xf numFmtId="0" fontId="19" fillId="2" borderId="1" xfId="0" applyFont="1" applyFill="1" applyBorder="1" applyAlignment="1">
      <alignment horizontal="left" vertical="top"/>
    </xf>
    <xf numFmtId="0" fontId="21" fillId="2" borderId="3" xfId="0" applyFont="1" applyFill="1" applyBorder="1" applyAlignment="1">
      <alignment horizontal="left" vertical="top" wrapText="1"/>
    </xf>
    <xf numFmtId="0" fontId="21" fillId="2" borderId="2" xfId="0" applyFont="1" applyFill="1" applyBorder="1" applyAlignment="1">
      <alignment horizontal="left" vertical="top" wrapText="1"/>
    </xf>
    <xf numFmtId="0" fontId="23" fillId="2" borderId="6"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9"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49" fontId="21" fillId="2" borderId="6" xfId="0" applyNumberFormat="1" applyFont="1" applyFill="1" applyBorder="1" applyAlignment="1">
      <alignment horizontal="left" vertical="top" wrapText="1"/>
    </xf>
    <xf numFmtId="49" fontId="21" fillId="2" borderId="12" xfId="0" applyNumberFormat="1" applyFont="1" applyFill="1" applyBorder="1" applyAlignment="1">
      <alignment horizontal="left" vertical="top" wrapText="1"/>
    </xf>
    <xf numFmtId="49" fontId="21" fillId="2" borderId="9" xfId="0" applyNumberFormat="1" applyFont="1" applyFill="1" applyBorder="1" applyAlignment="1">
      <alignment horizontal="left" vertical="top" wrapText="1"/>
    </xf>
    <xf numFmtId="0" fontId="18" fillId="2" borderId="5" xfId="0" applyFont="1" applyFill="1" applyBorder="1" applyAlignment="1">
      <alignment horizontal="left" vertical="top"/>
    </xf>
    <xf numFmtId="0" fontId="18" fillId="2" borderId="14" xfId="0" applyFont="1" applyFill="1" applyBorder="1" applyAlignment="1">
      <alignment horizontal="left" vertical="top"/>
    </xf>
    <xf numFmtId="0" fontId="18" fillId="2" borderId="13" xfId="0" applyFont="1" applyFill="1" applyBorder="1" applyAlignment="1">
      <alignment horizontal="left" vertical="top"/>
    </xf>
    <xf numFmtId="0" fontId="18" fillId="2" borderId="10" xfId="0" applyFont="1" applyFill="1" applyBorder="1" applyAlignment="1">
      <alignment horizontal="left" vertical="top"/>
    </xf>
    <xf numFmtId="0" fontId="18" fillId="2" borderId="0" xfId="0" applyFont="1" applyFill="1" applyBorder="1" applyAlignment="1">
      <alignment horizontal="left" vertical="top"/>
    </xf>
    <xf numFmtId="0" fontId="18" fillId="2" borderId="11" xfId="0" applyFont="1" applyFill="1" applyBorder="1" applyAlignment="1">
      <alignment horizontal="left" vertical="top"/>
    </xf>
    <xf numFmtId="0" fontId="18" fillId="2" borderId="7" xfId="0" applyFont="1" applyFill="1" applyBorder="1" applyAlignment="1">
      <alignment horizontal="left" vertical="top"/>
    </xf>
    <xf numFmtId="0" fontId="18" fillId="2" borderId="15" xfId="0" applyFont="1" applyFill="1" applyBorder="1" applyAlignment="1">
      <alignment horizontal="left" vertical="top"/>
    </xf>
    <xf numFmtId="0" fontId="18" fillId="2" borderId="8" xfId="0" applyFont="1" applyFill="1" applyBorder="1" applyAlignment="1">
      <alignment horizontal="left" vertical="top"/>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49" fontId="18" fillId="2" borderId="3" xfId="0" applyNumberFormat="1" applyFont="1" applyFill="1" applyBorder="1" applyAlignment="1">
      <alignment horizontal="left" vertical="top" wrapText="1"/>
    </xf>
    <xf numFmtId="49" fontId="18" fillId="2" borderId="2" xfId="0" applyNumberFormat="1" applyFont="1" applyFill="1" applyBorder="1" applyAlignment="1">
      <alignment horizontal="left" vertical="top" wrapText="1"/>
    </xf>
    <xf numFmtId="0" fontId="16" fillId="2" borderId="1" xfId="0" applyFont="1" applyFill="1" applyBorder="1" applyAlignment="1">
      <alignment horizontal="center" vertical="top" wrapText="1"/>
    </xf>
    <xf numFmtId="0" fontId="16" fillId="2" borderId="12" xfId="0" applyFont="1" applyFill="1" applyBorder="1" applyAlignment="1">
      <alignment horizontal="center" vertical="top" wrapText="1"/>
    </xf>
    <xf numFmtId="49" fontId="21" fillId="2" borderId="1" xfId="0" applyNumberFormat="1"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3"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4" fillId="2" borderId="8" xfId="0" applyFont="1" applyFill="1" applyBorder="1" applyAlignment="1">
      <alignment horizontal="center" vertical="top"/>
    </xf>
    <xf numFmtId="0" fontId="21" fillId="2" borderId="1" xfId="0" applyFont="1" applyFill="1" applyBorder="1" applyAlignment="1">
      <alignment horizontal="left" vertical="center" wrapText="1"/>
    </xf>
    <xf numFmtId="0" fontId="18" fillId="2" borderId="9"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7" xfId="0" applyFont="1" applyFill="1" applyBorder="1" applyAlignment="1">
      <alignment horizontal="left" vertical="top" wrapText="1"/>
    </xf>
    <xf numFmtId="0" fontId="18" fillId="2" borderId="5" xfId="0" applyFont="1" applyFill="1" applyBorder="1" applyAlignment="1">
      <alignment horizontal="center" vertical="top" wrapText="1"/>
    </xf>
    <xf numFmtId="0" fontId="18" fillId="2" borderId="14"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8" xfId="0" applyFont="1" applyFill="1" applyBorder="1" applyAlignment="1">
      <alignment horizontal="center" vertical="top" wrapText="1"/>
    </xf>
    <xf numFmtId="0" fontId="21" fillId="2" borderId="6"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13"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8" fillId="2" borderId="3" xfId="0" applyFont="1" applyFill="1" applyBorder="1" applyAlignment="1">
      <alignment horizontal="left" vertical="top"/>
    </xf>
    <xf numFmtId="0" fontId="18" fillId="2" borderId="4" xfId="0" applyFont="1" applyFill="1" applyBorder="1" applyAlignment="1">
      <alignment horizontal="left" vertical="top"/>
    </xf>
    <xf numFmtId="0" fontId="18" fillId="2" borderId="2" xfId="0" applyFont="1" applyFill="1" applyBorder="1" applyAlignment="1">
      <alignment horizontal="left" vertical="top"/>
    </xf>
    <xf numFmtId="0" fontId="18" fillId="2" borderId="14" xfId="0" applyFont="1" applyFill="1" applyBorder="1" applyAlignment="1">
      <alignment horizontal="center" vertical="top"/>
    </xf>
    <xf numFmtId="0" fontId="18" fillId="2" borderId="13" xfId="0" applyFont="1" applyFill="1" applyBorder="1" applyAlignment="1">
      <alignment horizontal="center" vertical="top"/>
    </xf>
    <xf numFmtId="0" fontId="18" fillId="2" borderId="0" xfId="0" applyFont="1" applyFill="1" applyBorder="1" applyAlignment="1">
      <alignment horizontal="center" vertical="top"/>
    </xf>
    <xf numFmtId="0" fontId="18" fillId="2" borderId="11" xfId="0" applyFont="1" applyFill="1" applyBorder="1" applyAlignment="1">
      <alignment horizontal="center" vertical="top"/>
    </xf>
    <xf numFmtId="0" fontId="18" fillId="2" borderId="15" xfId="0" applyFont="1" applyFill="1" applyBorder="1" applyAlignment="1">
      <alignment horizontal="center" vertical="top"/>
    </xf>
    <xf numFmtId="0" fontId="18" fillId="2" borderId="8" xfId="0" applyFont="1" applyFill="1" applyBorder="1" applyAlignment="1">
      <alignment horizontal="center" vertical="top"/>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4" xfId="0" applyFont="1" applyFill="1" applyBorder="1" applyAlignment="1">
      <alignment horizontal="left" vertical="top" wrapText="1"/>
    </xf>
    <xf numFmtId="0" fontId="14" fillId="2" borderId="13" xfId="0" applyFont="1" applyFill="1" applyBorder="1" applyAlignment="1">
      <alignment horizontal="left" vertical="top" wrapText="1"/>
    </xf>
    <xf numFmtId="0" fontId="17" fillId="2" borderId="4" xfId="0" applyFont="1" applyFill="1" applyBorder="1" applyAlignment="1">
      <alignment horizontal="center" vertical="top"/>
    </xf>
    <xf numFmtId="0" fontId="17" fillId="2" borderId="2" xfId="0" applyFont="1" applyFill="1" applyBorder="1" applyAlignment="1">
      <alignment horizontal="center"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8" fillId="2" borderId="4" xfId="0" applyFont="1" applyFill="1" applyBorder="1" applyAlignment="1">
      <alignment horizontal="left" vertical="top" wrapText="1"/>
    </xf>
    <xf numFmtId="0" fontId="24" fillId="2" borderId="0" xfId="0" applyFont="1" applyFill="1" applyAlignment="1">
      <alignment horizontal="center" vertical="center"/>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8" fillId="2" borderId="3" xfId="0" applyFont="1" applyFill="1" applyBorder="1" applyAlignment="1">
      <alignment horizontal="center" wrapText="1"/>
    </xf>
    <xf numFmtId="0" fontId="18" fillId="2" borderId="4" xfId="0" applyFont="1" applyFill="1" applyBorder="1" applyAlignment="1">
      <alignment horizontal="center" wrapText="1"/>
    </xf>
    <xf numFmtId="0" fontId="18" fillId="2" borderId="2" xfId="0" applyFont="1" applyFill="1" applyBorder="1" applyAlignment="1">
      <alignment horizontal="center" wrapText="1"/>
    </xf>
    <xf numFmtId="0" fontId="18" fillId="2" borderId="1" xfId="0" applyFont="1" applyFill="1" applyBorder="1" applyAlignment="1">
      <alignment horizontal="center" wrapText="1"/>
    </xf>
    <xf numFmtId="0" fontId="21" fillId="2" borderId="1" xfId="0" applyFont="1" applyFill="1" applyBorder="1" applyAlignment="1">
      <alignmen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49" fontId="13" fillId="2" borderId="2" xfId="0" applyNumberFormat="1"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49" fontId="18"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0" fontId="21" fillId="2" borderId="14" xfId="3" applyFont="1" applyFill="1" applyBorder="1" applyAlignment="1">
      <alignment horizontal="left" vertical="top" wrapText="1"/>
    </xf>
    <xf numFmtId="0" fontId="21" fillId="2" borderId="0" xfId="3" applyFont="1" applyFill="1" applyBorder="1" applyAlignment="1">
      <alignment horizontal="left" vertical="top" wrapText="1"/>
    </xf>
    <xf numFmtId="0" fontId="21" fillId="2" borderId="15" xfId="3" applyFont="1" applyFill="1" applyBorder="1" applyAlignment="1">
      <alignment horizontal="left" vertical="top" wrapText="1"/>
    </xf>
    <xf numFmtId="0" fontId="21" fillId="2" borderId="6" xfId="0" applyFont="1" applyFill="1" applyBorder="1" applyAlignment="1">
      <alignment vertical="top" wrapText="1"/>
    </xf>
    <xf numFmtId="0" fontId="21" fillId="2" borderId="12" xfId="0" applyFont="1" applyFill="1" applyBorder="1" applyAlignment="1">
      <alignment vertical="top" wrapText="1"/>
    </xf>
    <xf numFmtId="0" fontId="21" fillId="2" borderId="9" xfId="0" applyFont="1" applyFill="1" applyBorder="1" applyAlignment="1">
      <alignment vertical="top" wrapText="1"/>
    </xf>
    <xf numFmtId="0" fontId="11" fillId="2" borderId="1" xfId="0" applyFont="1" applyFill="1" applyBorder="1" applyAlignment="1">
      <alignment horizontal="center" vertical="top"/>
    </xf>
    <xf numFmtId="0" fontId="14" fillId="2" borderId="6"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21" fillId="2" borderId="1" xfId="3" applyFont="1" applyFill="1" applyBorder="1" applyAlignment="1">
      <alignment horizontal="center" vertical="top" wrapText="1"/>
    </xf>
    <xf numFmtId="0" fontId="19" fillId="2" borderId="1" xfId="0" applyFont="1" applyFill="1" applyBorder="1" applyAlignment="1">
      <alignment horizontal="center" vertical="top"/>
    </xf>
    <xf numFmtId="0" fontId="14" fillId="2" borderId="6"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2" borderId="9" xfId="0" applyFont="1" applyFill="1" applyBorder="1" applyAlignment="1">
      <alignment horizontal="center" vertical="top" wrapText="1"/>
    </xf>
    <xf numFmtId="49" fontId="18" fillId="2" borderId="6" xfId="0" applyNumberFormat="1" applyFont="1" applyFill="1" applyBorder="1" applyAlignment="1">
      <alignment horizontal="center" vertical="top" wrapText="1"/>
    </xf>
    <xf numFmtId="49" fontId="18" fillId="2" borderId="12" xfId="0" applyNumberFormat="1" applyFont="1" applyFill="1" applyBorder="1" applyAlignment="1">
      <alignment horizontal="center" vertical="top" wrapText="1"/>
    </xf>
    <xf numFmtId="49" fontId="18" fillId="2" borderId="9" xfId="0" applyNumberFormat="1" applyFont="1" applyFill="1" applyBorder="1" applyAlignment="1">
      <alignment horizontal="center" vertical="top" wrapText="1"/>
    </xf>
    <xf numFmtId="0" fontId="21" fillId="2" borderId="12" xfId="0" applyFont="1" applyFill="1" applyBorder="1" applyAlignment="1">
      <alignment horizontal="center" vertical="center" wrapText="1"/>
    </xf>
    <xf numFmtId="0" fontId="21" fillId="2" borderId="9" xfId="0" applyFont="1" applyFill="1" applyBorder="1" applyAlignment="1">
      <alignment horizontal="center" vertical="center" wrapText="1"/>
    </xf>
    <xf numFmtId="3" fontId="10" fillId="2" borderId="3" xfId="0" applyNumberFormat="1" applyFont="1" applyFill="1" applyBorder="1" applyAlignment="1">
      <alignment horizontal="left" vertical="top"/>
    </xf>
    <xf numFmtId="3" fontId="10" fillId="2" borderId="4" xfId="0" applyNumberFormat="1" applyFont="1" applyFill="1" applyBorder="1" applyAlignment="1">
      <alignment horizontal="left" vertical="top"/>
    </xf>
    <xf numFmtId="3" fontId="10" fillId="2" borderId="2" xfId="0" applyNumberFormat="1" applyFont="1" applyFill="1" applyBorder="1" applyAlignment="1">
      <alignment horizontal="left" vertical="top"/>
    </xf>
    <xf numFmtId="3" fontId="10" fillId="2" borderId="3" xfId="0" applyNumberFormat="1" applyFont="1" applyFill="1" applyBorder="1" applyAlignment="1">
      <alignment horizontal="left" vertical="top" wrapText="1"/>
    </xf>
    <xf numFmtId="3" fontId="10" fillId="2" borderId="4" xfId="0" applyNumberFormat="1" applyFont="1" applyFill="1" applyBorder="1" applyAlignment="1">
      <alignment horizontal="left" vertical="top" wrapText="1"/>
    </xf>
    <xf numFmtId="3" fontId="10" fillId="2" borderId="2" xfId="0" applyNumberFormat="1" applyFont="1" applyFill="1" applyBorder="1" applyAlignment="1">
      <alignment horizontal="left" vertical="top" wrapText="1"/>
    </xf>
    <xf numFmtId="3" fontId="10" fillId="2" borderId="3" xfId="7" applyNumberFormat="1" applyFont="1" applyFill="1" applyBorder="1" applyAlignment="1">
      <alignment horizontal="left" vertical="top" wrapText="1"/>
    </xf>
    <xf numFmtId="3" fontId="10" fillId="2" borderId="4" xfId="7" applyNumberFormat="1" applyFont="1" applyFill="1" applyBorder="1" applyAlignment="1">
      <alignment horizontal="left" vertical="top" wrapText="1"/>
    </xf>
    <xf numFmtId="3" fontId="10" fillId="2" borderId="2" xfId="7" applyNumberFormat="1" applyFont="1" applyFill="1" applyBorder="1" applyAlignment="1">
      <alignment horizontal="left" vertical="top" wrapText="1"/>
    </xf>
    <xf numFmtId="3" fontId="10" fillId="2" borderId="3" xfId="6" applyNumberFormat="1" applyFont="1" applyFill="1" applyBorder="1" applyAlignment="1">
      <alignment horizontal="left" vertical="top" wrapText="1"/>
    </xf>
    <xf numFmtId="3" fontId="10" fillId="2" borderId="4" xfId="6" applyNumberFormat="1" applyFont="1" applyFill="1" applyBorder="1" applyAlignment="1">
      <alignment horizontal="left" vertical="top" wrapText="1"/>
    </xf>
    <xf numFmtId="3" fontId="10" fillId="2" borderId="2" xfId="6" applyNumberFormat="1" applyFont="1" applyFill="1" applyBorder="1" applyAlignment="1">
      <alignment horizontal="left" vertical="top" wrapText="1"/>
    </xf>
    <xf numFmtId="3" fontId="13" fillId="2" borderId="1" xfId="0" applyNumberFormat="1" applyFont="1" applyFill="1" applyBorder="1" applyAlignment="1">
      <alignment horizontal="left" vertical="top"/>
    </xf>
    <xf numFmtId="3"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horizontal="left" vertical="top"/>
    </xf>
    <xf numFmtId="0" fontId="23" fillId="2" borderId="0" xfId="0" applyFont="1" applyFill="1" applyBorder="1" applyAlignment="1">
      <alignment horizontal="justify" wrapText="1"/>
    </xf>
    <xf numFmtId="3" fontId="14" fillId="2" borderId="1" xfId="0" applyNumberFormat="1" applyFont="1" applyFill="1" applyBorder="1" applyAlignment="1">
      <alignment horizontal="left" vertical="top" wrapText="1"/>
    </xf>
    <xf numFmtId="3" fontId="23" fillId="2" borderId="0" xfId="0" applyNumberFormat="1" applyFont="1" applyFill="1" applyAlignment="1">
      <alignment horizontal="left" wrapText="1"/>
    </xf>
    <xf numFmtId="3" fontId="20"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0" fillId="2" borderId="1" xfId="0" applyNumberFormat="1" applyFont="1" applyFill="1" applyBorder="1" applyAlignment="1">
      <alignment horizontal="left"/>
    </xf>
    <xf numFmtId="3" fontId="10" fillId="2" borderId="1" xfId="6" applyNumberFormat="1" applyFont="1" applyFill="1" applyBorder="1" applyAlignment="1">
      <alignment horizontal="left" vertical="top" wrapText="1"/>
    </xf>
    <xf numFmtId="0" fontId="13"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2" xfId="0" applyFont="1" applyFill="1" applyBorder="1" applyAlignment="1">
      <alignment horizontal="left" vertical="top" wrapText="1"/>
    </xf>
    <xf numFmtId="0" fontId="14" fillId="2" borderId="0" xfId="0" applyFont="1" applyFill="1" applyAlignment="1">
      <alignment horizontal="center" wrapText="1"/>
    </xf>
    <xf numFmtId="0" fontId="14" fillId="2" borderId="15" xfId="0" applyFont="1" applyFill="1" applyBorder="1" applyAlignment="1">
      <alignment horizont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13" fillId="2" borderId="13"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8" xfId="0" applyFont="1" applyFill="1" applyBorder="1" applyAlignment="1">
      <alignment horizontal="center" vertical="top" wrapText="1"/>
    </xf>
    <xf numFmtId="3" fontId="9" fillId="2" borderId="0" xfId="0" applyNumberFormat="1" applyFont="1" applyFill="1" applyAlignment="1">
      <alignment horizontal="center" wrapText="1"/>
    </xf>
    <xf numFmtId="0" fontId="11" fillId="2" borderId="3" xfId="0" applyFont="1" applyFill="1" applyBorder="1" applyAlignment="1">
      <alignment horizontal="center" vertical="top"/>
    </xf>
    <xf numFmtId="0" fontId="11" fillId="2" borderId="4" xfId="0" applyFont="1" applyFill="1" applyBorder="1" applyAlignment="1">
      <alignment horizontal="center" vertical="top"/>
    </xf>
    <xf numFmtId="0" fontId="11" fillId="2" borderId="2" xfId="0" applyFont="1" applyFill="1" applyBorder="1" applyAlignment="1">
      <alignment horizontal="center" vertical="top"/>
    </xf>
    <xf numFmtId="0" fontId="13" fillId="2" borderId="3" xfId="0" applyFont="1" applyFill="1" applyBorder="1" applyAlignment="1">
      <alignment horizontal="left"/>
    </xf>
    <xf numFmtId="0" fontId="13" fillId="2" borderId="2" xfId="0" applyFont="1" applyFill="1" applyBorder="1" applyAlignment="1">
      <alignment horizontal="left"/>
    </xf>
    <xf numFmtId="0" fontId="13" fillId="2" borderId="6" xfId="0" applyFont="1" applyFill="1" applyBorder="1" applyAlignment="1">
      <alignment horizontal="center" vertical="top"/>
    </xf>
    <xf numFmtId="0" fontId="13" fillId="2" borderId="12" xfId="0" applyFont="1" applyFill="1" applyBorder="1" applyAlignment="1">
      <alignment horizontal="center" vertical="top"/>
    </xf>
  </cellXfs>
  <cellStyles count="11">
    <cellStyle name="Обычный" xfId="0" builtinId="0"/>
    <cellStyle name="Обычный 2" xfId="1"/>
    <cellStyle name="Обычный 2 3" xfId="9"/>
    <cellStyle name="Обычный 3" xfId="2"/>
    <cellStyle name="Обычный 4" xfId="8"/>
    <cellStyle name="Обычный 7" xfId="10"/>
    <cellStyle name="Обычный_Dnepr" xfId="6"/>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x14ac:dyDescent="0.3"/>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x14ac:dyDescent="0.3">
      <c r="C1" s="1" t="s">
        <v>0</v>
      </c>
    </row>
    <row r="2" spans="1:13" ht="114" customHeight="1" x14ac:dyDescent="0.3">
      <c r="C2" s="4" t="s">
        <v>37</v>
      </c>
      <c r="F2" s="276"/>
      <c r="G2" s="276"/>
      <c r="H2" s="276"/>
      <c r="I2" s="2"/>
      <c r="J2" s="2"/>
      <c r="K2" s="2"/>
      <c r="L2" s="15"/>
      <c r="M2" s="15"/>
    </row>
    <row r="3" spans="1:13" ht="24" customHeight="1" x14ac:dyDescent="0.3">
      <c r="C3" s="4" t="s">
        <v>40</v>
      </c>
      <c r="E3" s="17"/>
      <c r="F3" s="277"/>
      <c r="G3" s="277"/>
      <c r="H3" s="277"/>
      <c r="J3" s="15"/>
      <c r="K3" s="15"/>
      <c r="L3" s="15"/>
      <c r="M3" s="15"/>
    </row>
    <row r="4" spans="1:13" ht="30" customHeight="1" x14ac:dyDescent="0.3">
      <c r="C4" s="4"/>
      <c r="E4" s="17"/>
      <c r="F4" s="16"/>
      <c r="G4" s="16"/>
      <c r="H4" s="16"/>
      <c r="J4" s="15"/>
      <c r="K4" s="15"/>
      <c r="L4" s="15"/>
      <c r="M4" s="15"/>
    </row>
    <row r="5" spans="1:13" ht="17.25" customHeight="1" x14ac:dyDescent="0.3">
      <c r="A5" s="273" t="s">
        <v>7</v>
      </c>
      <c r="B5" s="273"/>
      <c r="C5" s="273"/>
      <c r="F5" s="278"/>
      <c r="G5" s="278"/>
      <c r="H5" s="278"/>
      <c r="I5" s="278"/>
      <c r="J5" s="278"/>
      <c r="K5" s="278"/>
      <c r="L5" s="278"/>
      <c r="M5" s="278"/>
    </row>
    <row r="6" spans="1:13" ht="17.25" customHeight="1" x14ac:dyDescent="0.3">
      <c r="A6" s="273" t="s">
        <v>16</v>
      </c>
      <c r="B6" s="273"/>
      <c r="C6" s="273"/>
    </row>
    <row r="7" spans="1:13" ht="17.25" customHeight="1" x14ac:dyDescent="0.3">
      <c r="A7" s="273" t="s">
        <v>14</v>
      </c>
      <c r="B7" s="273"/>
      <c r="C7" s="273"/>
    </row>
    <row r="8" spans="1:13" ht="22.5" customHeight="1" x14ac:dyDescent="0.3"/>
    <row r="9" spans="1:13" ht="37.5" customHeight="1" x14ac:dyDescent="0.3">
      <c r="A9" s="274" t="s">
        <v>6</v>
      </c>
      <c r="B9" s="281" t="s">
        <v>8</v>
      </c>
      <c r="C9" s="282"/>
    </row>
    <row r="10" spans="1:13" ht="37.5" customHeight="1" x14ac:dyDescent="0.3">
      <c r="A10" s="275"/>
      <c r="B10" s="270" t="s">
        <v>9</v>
      </c>
      <c r="C10" s="271"/>
    </row>
    <row r="11" spans="1:13" x14ac:dyDescent="0.3">
      <c r="A11" s="7">
        <v>1</v>
      </c>
      <c r="B11" s="279">
        <v>2</v>
      </c>
      <c r="C11" s="280"/>
    </row>
    <row r="12" spans="1:13" ht="49.5" customHeight="1" x14ac:dyDescent="0.3">
      <c r="A12" s="20" t="s">
        <v>26</v>
      </c>
      <c r="B12" s="272" t="s">
        <v>10</v>
      </c>
      <c r="C12" s="272"/>
    </row>
    <row r="13" spans="1:13" ht="49.5" customHeight="1" x14ac:dyDescent="0.3">
      <c r="A13" s="20" t="s">
        <v>27</v>
      </c>
      <c r="B13" s="272" t="s">
        <v>13</v>
      </c>
      <c r="C13" s="272"/>
    </row>
    <row r="14" spans="1:13" ht="49.5" customHeight="1" x14ac:dyDescent="0.3">
      <c r="A14" s="20" t="s">
        <v>28</v>
      </c>
      <c r="B14" s="272" t="s">
        <v>11</v>
      </c>
      <c r="C14" s="272"/>
    </row>
    <row r="15" spans="1:13" ht="49.5" customHeight="1" x14ac:dyDescent="0.3">
      <c r="A15" s="20" t="s">
        <v>29</v>
      </c>
      <c r="B15" s="272" t="s">
        <v>19</v>
      </c>
      <c r="C15" s="272"/>
    </row>
    <row r="16" spans="1:13" ht="49.5" customHeight="1" x14ac:dyDescent="0.3">
      <c r="A16" s="20" t="s">
        <v>30</v>
      </c>
      <c r="B16" s="272" t="s">
        <v>18</v>
      </c>
      <c r="C16" s="272"/>
    </row>
    <row r="17" spans="1:11" ht="49.5" customHeight="1" x14ac:dyDescent="0.3">
      <c r="A17" s="20" t="s">
        <v>31</v>
      </c>
      <c r="B17" s="269" t="s">
        <v>39</v>
      </c>
      <c r="C17" s="269"/>
    </row>
    <row r="18" spans="1:11" ht="55.5" customHeight="1" x14ac:dyDescent="0.3">
      <c r="A18" s="20" t="s">
        <v>32</v>
      </c>
      <c r="B18" s="269" t="s">
        <v>38</v>
      </c>
      <c r="C18" s="269"/>
    </row>
    <row r="19" spans="1:11" ht="57" customHeight="1" x14ac:dyDescent="0.3">
      <c r="A19" s="20" t="s">
        <v>33</v>
      </c>
      <c r="B19" s="272" t="s">
        <v>12</v>
      </c>
      <c r="C19" s="272"/>
    </row>
    <row r="20" spans="1:11" ht="41.25" customHeight="1" x14ac:dyDescent="0.3">
      <c r="A20" s="20" t="s">
        <v>34</v>
      </c>
      <c r="B20" s="269" t="s">
        <v>20</v>
      </c>
      <c r="C20" s="269"/>
    </row>
    <row r="21" spans="1:11" ht="41.25" customHeight="1" x14ac:dyDescent="0.3">
      <c r="A21" s="20" t="s">
        <v>35</v>
      </c>
      <c r="B21" s="269" t="s">
        <v>21</v>
      </c>
      <c r="C21" s="269"/>
    </row>
    <row r="22" spans="1:11" ht="41.25" customHeight="1" x14ac:dyDescent="0.3">
      <c r="A22" s="20" t="s">
        <v>36</v>
      </c>
      <c r="B22" s="269" t="s">
        <v>22</v>
      </c>
      <c r="C22" s="269"/>
    </row>
    <row r="23" spans="1:11" ht="14.25" customHeight="1" x14ac:dyDescent="0.3">
      <c r="A23" s="19"/>
      <c r="B23" s="11"/>
      <c r="C23" s="11"/>
    </row>
    <row r="24" spans="1:11" ht="14.25" customHeight="1" x14ac:dyDescent="0.3">
      <c r="A24" s="19"/>
      <c r="B24" s="11"/>
      <c r="C24" s="11"/>
    </row>
    <row r="25" spans="1:11" ht="14.25" customHeight="1" x14ac:dyDescent="0.3">
      <c r="A25" s="19"/>
      <c r="B25" s="11"/>
      <c r="C25" s="11"/>
    </row>
    <row r="26" spans="1:11" ht="14.25" customHeight="1" x14ac:dyDescent="0.3"/>
    <row r="27" spans="1:11" ht="22.5" customHeight="1" x14ac:dyDescent="0.3">
      <c r="A27" s="8" t="s">
        <v>23</v>
      </c>
      <c r="B27" s="10"/>
      <c r="C27" s="9" t="s">
        <v>24</v>
      </c>
      <c r="D27" s="10"/>
      <c r="E27" s="12"/>
      <c r="F27" s="10"/>
      <c r="G27" s="13"/>
      <c r="H27" s="13"/>
      <c r="I27" s="13"/>
      <c r="J27" s="14"/>
      <c r="K27" s="13"/>
    </row>
    <row r="28" spans="1:11" ht="20.25" customHeight="1" x14ac:dyDescent="0.3">
      <c r="A28" s="18" t="s">
        <v>25</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71"/>
  <sheetViews>
    <sheetView tabSelected="1" view="pageBreakPreview" zoomScale="30" zoomScaleNormal="35" zoomScaleSheetLayoutView="30" workbookViewId="0">
      <pane ySplit="9" topLeftCell="A10" activePane="bottomLeft" state="frozen"/>
      <selection pane="bottomLeft" sqref="A1:XFD1048576"/>
    </sheetView>
  </sheetViews>
  <sheetFormatPr defaultColWidth="9.140625" defaultRowHeight="75" customHeight="1" x14ac:dyDescent="0.4"/>
  <cols>
    <col min="1" max="1" width="8.42578125" style="38" customWidth="1"/>
    <col min="2" max="2" width="38.85546875" style="8" customWidth="1"/>
    <col min="3" max="3" width="51.28515625" style="39" customWidth="1"/>
    <col min="4" max="4" width="18.28515625" style="40" customWidth="1"/>
    <col min="5" max="5" width="69.42578125" style="41" customWidth="1"/>
    <col min="6" max="6" width="22.7109375" style="42" customWidth="1"/>
    <col min="7" max="7" width="43" style="45" customWidth="1"/>
    <col min="8" max="8" width="32.28515625" style="46" customWidth="1"/>
    <col min="9" max="9" width="28" style="46" customWidth="1"/>
    <col min="10" max="10" width="29.28515625" style="46" customWidth="1"/>
    <col min="11" max="11" width="30.7109375" style="46" customWidth="1"/>
    <col min="12" max="12" width="75.85546875" style="158" customWidth="1"/>
    <col min="13" max="13" width="17.85546875" style="8" customWidth="1"/>
    <col min="14" max="14" width="17.28515625" style="8" customWidth="1"/>
    <col min="15" max="15" width="17.140625" style="8" customWidth="1"/>
    <col min="16" max="16" width="17.28515625" style="8" customWidth="1"/>
    <col min="17" max="16384" width="9.140625" style="8"/>
  </cols>
  <sheetData>
    <row r="1" spans="1:12" ht="36" customHeight="1" x14ac:dyDescent="0.5">
      <c r="G1" s="43"/>
      <c r="H1" s="44"/>
      <c r="I1" s="44"/>
      <c r="J1" s="44"/>
      <c r="K1" s="44"/>
      <c r="L1" s="215" t="s">
        <v>518</v>
      </c>
    </row>
    <row r="2" spans="1:12" ht="84.75" customHeight="1" x14ac:dyDescent="0.5">
      <c r="L2" s="216" t="s">
        <v>561</v>
      </c>
    </row>
    <row r="3" spans="1:12" ht="54" customHeight="1" x14ac:dyDescent="0.5">
      <c r="A3" s="47"/>
      <c r="L3" s="215" t="s">
        <v>571</v>
      </c>
    </row>
    <row r="4" spans="1:12" ht="57.75" customHeight="1" x14ac:dyDescent="0.4">
      <c r="A4" s="47"/>
      <c r="L4" s="196"/>
    </row>
    <row r="5" spans="1:12" ht="75" customHeight="1" x14ac:dyDescent="0.3">
      <c r="A5" s="451" t="s">
        <v>142</v>
      </c>
      <c r="B5" s="451"/>
      <c r="C5" s="451"/>
      <c r="D5" s="451"/>
      <c r="E5" s="451"/>
      <c r="F5" s="451"/>
      <c r="G5" s="451"/>
      <c r="H5" s="451"/>
      <c r="I5" s="451"/>
      <c r="J5" s="451"/>
      <c r="K5" s="451"/>
      <c r="L5" s="451"/>
    </row>
    <row r="6" spans="1:12" ht="2.25" customHeight="1" x14ac:dyDescent="0.4">
      <c r="H6" s="46" t="s">
        <v>17</v>
      </c>
      <c r="I6" s="48" t="e">
        <f>#REF!+#REF!+#REF!+#REF!</f>
        <v>#REF!</v>
      </c>
    </row>
    <row r="7" spans="1:12" ht="75" customHeight="1" x14ac:dyDescent="0.35">
      <c r="A7" s="452" t="s">
        <v>1</v>
      </c>
      <c r="B7" s="453" t="s">
        <v>2</v>
      </c>
      <c r="C7" s="453" t="s">
        <v>3</v>
      </c>
      <c r="D7" s="452" t="s">
        <v>44</v>
      </c>
      <c r="E7" s="454" t="s">
        <v>43</v>
      </c>
      <c r="F7" s="457" t="s">
        <v>41</v>
      </c>
      <c r="G7" s="453" t="s">
        <v>4</v>
      </c>
      <c r="H7" s="458" t="s">
        <v>15</v>
      </c>
      <c r="I7" s="459"/>
      <c r="J7" s="459"/>
      <c r="K7" s="460"/>
      <c r="L7" s="453" t="s">
        <v>5</v>
      </c>
    </row>
    <row r="8" spans="1:12" ht="75" customHeight="1" x14ac:dyDescent="0.35">
      <c r="A8" s="452"/>
      <c r="B8" s="453"/>
      <c r="C8" s="453"/>
      <c r="D8" s="452"/>
      <c r="E8" s="455"/>
      <c r="F8" s="457"/>
      <c r="G8" s="453"/>
      <c r="H8" s="452" t="s">
        <v>60</v>
      </c>
      <c r="I8" s="461" t="s">
        <v>144</v>
      </c>
      <c r="J8" s="461"/>
      <c r="K8" s="461"/>
      <c r="L8" s="453"/>
    </row>
    <row r="9" spans="1:12" s="49" customFormat="1" ht="102.75" customHeight="1" x14ac:dyDescent="0.2">
      <c r="A9" s="452"/>
      <c r="B9" s="453"/>
      <c r="C9" s="453"/>
      <c r="D9" s="452"/>
      <c r="E9" s="456"/>
      <c r="F9" s="457"/>
      <c r="G9" s="453"/>
      <c r="H9" s="452"/>
      <c r="I9" s="247" t="s">
        <v>145</v>
      </c>
      <c r="J9" s="247" t="s">
        <v>146</v>
      </c>
      <c r="K9" s="247" t="s">
        <v>147</v>
      </c>
      <c r="L9" s="453"/>
    </row>
    <row r="10" spans="1:12" s="49" customFormat="1" ht="26.25" customHeight="1" x14ac:dyDescent="0.2">
      <c r="A10" s="50">
        <v>1</v>
      </c>
      <c r="B10" s="50">
        <v>2</v>
      </c>
      <c r="C10" s="247">
        <v>3</v>
      </c>
      <c r="D10" s="248">
        <v>4</v>
      </c>
      <c r="E10" s="247">
        <v>5</v>
      </c>
      <c r="F10" s="248">
        <v>6</v>
      </c>
      <c r="G10" s="248">
        <v>7</v>
      </c>
      <c r="H10" s="247">
        <v>8</v>
      </c>
      <c r="I10" s="247">
        <v>9</v>
      </c>
      <c r="J10" s="247">
        <v>10</v>
      </c>
      <c r="K10" s="247">
        <v>11</v>
      </c>
      <c r="L10" s="51">
        <v>12</v>
      </c>
    </row>
    <row r="11" spans="1:12" s="49" customFormat="1" ht="61.5" customHeight="1" x14ac:dyDescent="0.2">
      <c r="A11" s="301" t="s">
        <v>105</v>
      </c>
      <c r="B11" s="302"/>
      <c r="C11" s="302"/>
      <c r="D11" s="302"/>
      <c r="E11" s="302"/>
      <c r="F11" s="302"/>
      <c r="G11" s="302"/>
      <c r="H11" s="302"/>
      <c r="I11" s="302"/>
      <c r="J11" s="302"/>
      <c r="K11" s="302"/>
      <c r="L11" s="303"/>
    </row>
    <row r="12" spans="1:12" s="10" customFormat="1" ht="92.25" hidden="1" customHeight="1" x14ac:dyDescent="0.3">
      <c r="A12" s="286" t="s">
        <v>88</v>
      </c>
      <c r="B12" s="283" t="s">
        <v>85</v>
      </c>
      <c r="C12" s="462" t="s">
        <v>89</v>
      </c>
      <c r="D12" s="345" t="s">
        <v>117</v>
      </c>
      <c r="E12" s="450"/>
      <c r="F12" s="450"/>
      <c r="G12" s="346"/>
      <c r="H12" s="26">
        <f>H13+H14</f>
        <v>0</v>
      </c>
      <c r="I12" s="26">
        <f>I13+I14</f>
        <v>0</v>
      </c>
      <c r="J12" s="26">
        <f>J13+J14</f>
        <v>0</v>
      </c>
      <c r="K12" s="26">
        <f>K13+K14</f>
        <v>0</v>
      </c>
      <c r="L12" s="299" t="s">
        <v>488</v>
      </c>
    </row>
    <row r="13" spans="1:12" ht="92.25" hidden="1" customHeight="1" x14ac:dyDescent="0.3">
      <c r="A13" s="287"/>
      <c r="B13" s="284"/>
      <c r="C13" s="462"/>
      <c r="D13" s="34" t="s">
        <v>33</v>
      </c>
      <c r="E13" s="220" t="s">
        <v>56</v>
      </c>
      <c r="F13" s="342" t="s">
        <v>131</v>
      </c>
      <c r="G13" s="342" t="s">
        <v>136</v>
      </c>
      <c r="H13" s="26">
        <f>I13+J13+K13</f>
        <v>0</v>
      </c>
      <c r="I13" s="28"/>
      <c r="J13" s="28"/>
      <c r="K13" s="28"/>
      <c r="L13" s="310"/>
    </row>
    <row r="14" spans="1:12" ht="92.25" hidden="1" customHeight="1" x14ac:dyDescent="0.3">
      <c r="A14" s="287"/>
      <c r="B14" s="284"/>
      <c r="C14" s="462"/>
      <c r="D14" s="34" t="s">
        <v>33</v>
      </c>
      <c r="E14" s="220" t="s">
        <v>57</v>
      </c>
      <c r="F14" s="342"/>
      <c r="G14" s="342"/>
      <c r="H14" s="26">
        <f>I14+J14+K14</f>
        <v>0</v>
      </c>
      <c r="I14" s="28"/>
      <c r="J14" s="28"/>
      <c r="K14" s="28"/>
      <c r="L14" s="310"/>
    </row>
    <row r="15" spans="1:12" ht="75" customHeight="1" x14ac:dyDescent="0.3">
      <c r="A15" s="287"/>
      <c r="B15" s="284"/>
      <c r="C15" s="462" t="s">
        <v>152</v>
      </c>
      <c r="D15" s="345" t="s">
        <v>253</v>
      </c>
      <c r="E15" s="450"/>
      <c r="F15" s="450"/>
      <c r="G15" s="346"/>
      <c r="H15" s="26">
        <f>H16+H17</f>
        <v>16965.900000000001</v>
      </c>
      <c r="I15" s="26">
        <f>I16+I17</f>
        <v>5307.1</v>
      </c>
      <c r="J15" s="26">
        <f>J16+J17</f>
        <v>5707</v>
      </c>
      <c r="K15" s="26">
        <f>K16+K17</f>
        <v>5951.7999999999993</v>
      </c>
      <c r="L15" s="310"/>
    </row>
    <row r="16" spans="1:12" ht="61.5" customHeight="1" x14ac:dyDescent="0.3">
      <c r="A16" s="287"/>
      <c r="B16" s="284"/>
      <c r="C16" s="462"/>
      <c r="D16" s="34" t="s">
        <v>33</v>
      </c>
      <c r="E16" s="220" t="s">
        <v>56</v>
      </c>
      <c r="F16" s="342" t="s">
        <v>131</v>
      </c>
      <c r="G16" s="342" t="s">
        <v>148</v>
      </c>
      <c r="H16" s="26">
        <f>I16+J16+K16</f>
        <v>9141.7000000000007</v>
      </c>
      <c r="I16" s="28">
        <f>1567.4+1189</f>
        <v>2756.4</v>
      </c>
      <c r="J16" s="28">
        <v>3294.1</v>
      </c>
      <c r="K16" s="28">
        <v>3091.2</v>
      </c>
      <c r="L16" s="310"/>
    </row>
    <row r="17" spans="1:13" ht="61.5" customHeight="1" x14ac:dyDescent="0.3">
      <c r="A17" s="287"/>
      <c r="B17" s="284"/>
      <c r="C17" s="462"/>
      <c r="D17" s="34" t="s">
        <v>33</v>
      </c>
      <c r="E17" s="220" t="s">
        <v>57</v>
      </c>
      <c r="F17" s="342"/>
      <c r="G17" s="342"/>
      <c r="H17" s="26">
        <f>I17+J17+K17</f>
        <v>7824.2000000000007</v>
      </c>
      <c r="I17" s="28">
        <f>1484.3+1066.4</f>
        <v>2550.6999999999998</v>
      </c>
      <c r="J17" s="28">
        <v>2412.9</v>
      </c>
      <c r="K17" s="28">
        <v>2860.6</v>
      </c>
      <c r="L17" s="300"/>
    </row>
    <row r="18" spans="1:13" ht="75" customHeight="1" x14ac:dyDescent="0.3">
      <c r="A18" s="287"/>
      <c r="B18" s="284"/>
      <c r="C18" s="462" t="s">
        <v>173</v>
      </c>
      <c r="D18" s="345" t="s">
        <v>254</v>
      </c>
      <c r="E18" s="450"/>
      <c r="F18" s="450"/>
      <c r="G18" s="346"/>
      <c r="H18" s="27">
        <f>H19+H20</f>
        <v>1984.8</v>
      </c>
      <c r="I18" s="27">
        <f>I19+I20</f>
        <v>535.6</v>
      </c>
      <c r="J18" s="27">
        <f>J19+J20</f>
        <v>76.2</v>
      </c>
      <c r="K18" s="27">
        <f>K19+K20</f>
        <v>1373</v>
      </c>
      <c r="L18" s="317" t="s">
        <v>42</v>
      </c>
    </row>
    <row r="19" spans="1:13" ht="75" customHeight="1" x14ac:dyDescent="0.3">
      <c r="A19" s="287"/>
      <c r="B19" s="284"/>
      <c r="C19" s="462"/>
      <c r="D19" s="34" t="s">
        <v>30</v>
      </c>
      <c r="E19" s="220" t="s">
        <v>56</v>
      </c>
      <c r="F19" s="342" t="s">
        <v>131</v>
      </c>
      <c r="G19" s="342" t="s">
        <v>148</v>
      </c>
      <c r="H19" s="26">
        <f>I19+J19+K19</f>
        <v>741.3</v>
      </c>
      <c r="I19" s="28">
        <v>65.8</v>
      </c>
      <c r="J19" s="28">
        <v>0</v>
      </c>
      <c r="K19" s="28">
        <v>675.5</v>
      </c>
      <c r="L19" s="317"/>
    </row>
    <row r="20" spans="1:13" ht="75" customHeight="1" x14ac:dyDescent="0.3">
      <c r="A20" s="287"/>
      <c r="B20" s="284"/>
      <c r="C20" s="462"/>
      <c r="D20" s="34" t="s">
        <v>30</v>
      </c>
      <c r="E20" s="253" t="s">
        <v>57</v>
      </c>
      <c r="F20" s="342"/>
      <c r="G20" s="342"/>
      <c r="H20" s="26">
        <f>I20+J20+K20</f>
        <v>1243.5</v>
      </c>
      <c r="I20" s="28">
        <v>469.8</v>
      </c>
      <c r="J20" s="28">
        <f>76.2</f>
        <v>76.2</v>
      </c>
      <c r="K20" s="28">
        <v>697.5</v>
      </c>
      <c r="L20" s="299"/>
    </row>
    <row r="21" spans="1:13" ht="75" customHeight="1" x14ac:dyDescent="0.45">
      <c r="A21" s="287"/>
      <c r="B21" s="284"/>
      <c r="C21" s="299" t="s">
        <v>502</v>
      </c>
      <c r="D21" s="345" t="s">
        <v>255</v>
      </c>
      <c r="E21" s="450"/>
      <c r="F21" s="450"/>
      <c r="G21" s="346"/>
      <c r="H21" s="26">
        <f>I21+J21+K21</f>
        <v>1813.7</v>
      </c>
      <c r="I21" s="28">
        <f>I23</f>
        <v>700</v>
      </c>
      <c r="J21" s="28">
        <f>J23</f>
        <v>339.7</v>
      </c>
      <c r="K21" s="28">
        <f>K23</f>
        <v>774</v>
      </c>
      <c r="L21" s="299" t="s">
        <v>407</v>
      </c>
      <c r="M21" s="199"/>
    </row>
    <row r="22" spans="1:13" ht="75" hidden="1" customHeight="1" x14ac:dyDescent="0.3">
      <c r="A22" s="287"/>
      <c r="B22" s="284"/>
      <c r="C22" s="310"/>
      <c r="D22" s="34" t="s">
        <v>30</v>
      </c>
      <c r="E22" s="220" t="s">
        <v>56</v>
      </c>
      <c r="F22" s="342" t="s">
        <v>131</v>
      </c>
      <c r="G22" s="342" t="s">
        <v>148</v>
      </c>
      <c r="H22" s="26">
        <f>I22</f>
        <v>0</v>
      </c>
      <c r="I22" s="28"/>
      <c r="J22" s="28"/>
      <c r="K22" s="52"/>
      <c r="L22" s="310"/>
    </row>
    <row r="23" spans="1:13" ht="92.25" customHeight="1" x14ac:dyDescent="0.3">
      <c r="A23" s="287"/>
      <c r="B23" s="284"/>
      <c r="C23" s="300"/>
      <c r="D23" s="34" t="s">
        <v>30</v>
      </c>
      <c r="E23" s="253" t="s">
        <v>57</v>
      </c>
      <c r="F23" s="342"/>
      <c r="G23" s="342"/>
      <c r="H23" s="26">
        <f>I23+J23+K23</f>
        <v>1813.7</v>
      </c>
      <c r="I23" s="28">
        <v>700</v>
      </c>
      <c r="J23" s="28">
        <f>700-360.3</f>
        <v>339.7</v>
      </c>
      <c r="K23" s="52">
        <v>774</v>
      </c>
      <c r="L23" s="300"/>
    </row>
    <row r="24" spans="1:13" ht="51" customHeight="1" x14ac:dyDescent="0.3">
      <c r="A24" s="287"/>
      <c r="B24" s="284"/>
      <c r="C24" s="299" t="s">
        <v>503</v>
      </c>
      <c r="D24" s="345" t="s">
        <v>256</v>
      </c>
      <c r="E24" s="450"/>
      <c r="F24" s="450"/>
      <c r="G24" s="346"/>
      <c r="H24" s="26">
        <f>I24+J24+K24</f>
        <v>596.90000000000009</v>
      </c>
      <c r="I24" s="28">
        <f>I25+I26</f>
        <v>218.1</v>
      </c>
      <c r="J24" s="28">
        <f>J25+J26</f>
        <v>139.5</v>
      </c>
      <c r="K24" s="28">
        <f>K25+K26</f>
        <v>239.3</v>
      </c>
      <c r="L24" s="299" t="s">
        <v>365</v>
      </c>
    </row>
    <row r="25" spans="1:13" ht="78.75" customHeight="1" x14ac:dyDescent="0.3">
      <c r="A25" s="287"/>
      <c r="B25" s="284"/>
      <c r="C25" s="310"/>
      <c r="D25" s="34" t="s">
        <v>30</v>
      </c>
      <c r="E25" s="220" t="s">
        <v>56</v>
      </c>
      <c r="F25" s="342" t="s">
        <v>131</v>
      </c>
      <c r="G25" s="342" t="s">
        <v>136</v>
      </c>
      <c r="H25" s="26">
        <f>I25+J25+K25</f>
        <v>139.5</v>
      </c>
      <c r="I25" s="28">
        <v>0</v>
      </c>
      <c r="J25" s="28">
        <f>150-10.5</f>
        <v>139.5</v>
      </c>
      <c r="K25" s="52"/>
      <c r="L25" s="310"/>
    </row>
    <row r="26" spans="1:13" ht="78.75" customHeight="1" x14ac:dyDescent="0.3">
      <c r="A26" s="287"/>
      <c r="B26" s="284"/>
      <c r="C26" s="310"/>
      <c r="D26" s="34" t="s">
        <v>30</v>
      </c>
      <c r="E26" s="253" t="s">
        <v>57</v>
      </c>
      <c r="F26" s="342"/>
      <c r="G26" s="342"/>
      <c r="H26" s="26">
        <f>I26+J26+K26</f>
        <v>457.4</v>
      </c>
      <c r="I26" s="28">
        <v>218.1</v>
      </c>
      <c r="J26" s="28">
        <f>150-64-86</f>
        <v>0</v>
      </c>
      <c r="K26" s="52">
        <v>239.3</v>
      </c>
      <c r="L26" s="310"/>
    </row>
    <row r="27" spans="1:13" ht="78.75" hidden="1" customHeight="1" x14ac:dyDescent="0.3">
      <c r="A27" s="287"/>
      <c r="B27" s="284"/>
      <c r="C27" s="300"/>
      <c r="D27" s="34" t="s">
        <v>30</v>
      </c>
      <c r="E27" s="253" t="s">
        <v>137</v>
      </c>
      <c r="F27" s="342"/>
      <c r="G27" s="342"/>
      <c r="H27" s="26"/>
      <c r="I27" s="28"/>
      <c r="J27" s="28"/>
      <c r="K27" s="52"/>
      <c r="L27" s="300"/>
    </row>
    <row r="28" spans="1:13" ht="112.5" hidden="1" customHeight="1" x14ac:dyDescent="0.3">
      <c r="A28" s="287"/>
      <c r="B28" s="284"/>
      <c r="C28" s="228"/>
      <c r="D28" s="34" t="s">
        <v>30</v>
      </c>
      <c r="E28" s="253" t="s">
        <v>137</v>
      </c>
      <c r="F28" s="240"/>
      <c r="G28" s="240"/>
      <c r="H28" s="26">
        <f>I28+J28+K28</f>
        <v>0</v>
      </c>
      <c r="I28" s="28"/>
      <c r="J28" s="28"/>
      <c r="K28" s="28"/>
      <c r="L28" s="246"/>
    </row>
    <row r="29" spans="1:13" ht="52.5" customHeight="1" x14ac:dyDescent="0.3">
      <c r="A29" s="287"/>
      <c r="B29" s="284"/>
      <c r="C29" s="299" t="s">
        <v>504</v>
      </c>
      <c r="D29" s="345" t="s">
        <v>257</v>
      </c>
      <c r="E29" s="450"/>
      <c r="F29" s="450"/>
      <c r="G29" s="346"/>
      <c r="H29" s="26">
        <f>I29+J29+K29</f>
        <v>115.8</v>
      </c>
      <c r="I29" s="28">
        <f>I30+I31</f>
        <v>42.5</v>
      </c>
      <c r="J29" s="28">
        <f>J30+J31</f>
        <v>23.1</v>
      </c>
      <c r="K29" s="28">
        <f>K30+K31</f>
        <v>50.2</v>
      </c>
      <c r="L29" s="299" t="s">
        <v>366</v>
      </c>
    </row>
    <row r="30" spans="1:13" ht="78" customHeight="1" x14ac:dyDescent="0.3">
      <c r="A30" s="287"/>
      <c r="B30" s="284"/>
      <c r="C30" s="310"/>
      <c r="D30" s="34" t="s">
        <v>30</v>
      </c>
      <c r="E30" s="220" t="s">
        <v>56</v>
      </c>
      <c r="F30" s="333" t="s">
        <v>131</v>
      </c>
      <c r="G30" s="333" t="s">
        <v>148</v>
      </c>
      <c r="H30" s="26">
        <f>I30+J30+K30</f>
        <v>62.400000000000006</v>
      </c>
      <c r="I30" s="28">
        <v>12.6</v>
      </c>
      <c r="J30" s="28">
        <f>12.6+10.5</f>
        <v>23.1</v>
      </c>
      <c r="K30" s="28">
        <v>26.7</v>
      </c>
      <c r="L30" s="310"/>
    </row>
    <row r="31" spans="1:13" ht="67.5" customHeight="1" x14ac:dyDescent="0.3">
      <c r="A31" s="287"/>
      <c r="B31" s="284"/>
      <c r="C31" s="300"/>
      <c r="D31" s="34" t="s">
        <v>30</v>
      </c>
      <c r="E31" s="253" t="s">
        <v>57</v>
      </c>
      <c r="F31" s="339"/>
      <c r="G31" s="339"/>
      <c r="H31" s="26">
        <f>I31+J31+K31</f>
        <v>53.4</v>
      </c>
      <c r="I31" s="28">
        <v>29.9</v>
      </c>
      <c r="J31" s="28">
        <f>29.9-29.9</f>
        <v>0</v>
      </c>
      <c r="K31" s="28">
        <v>23.5</v>
      </c>
      <c r="L31" s="300"/>
    </row>
    <row r="32" spans="1:13" ht="117.75" customHeight="1" x14ac:dyDescent="0.3">
      <c r="A32" s="288"/>
      <c r="B32" s="285"/>
      <c r="C32" s="228" t="s">
        <v>565</v>
      </c>
      <c r="D32" s="34" t="s">
        <v>30</v>
      </c>
      <c r="E32" s="253" t="s">
        <v>57</v>
      </c>
      <c r="F32" s="334"/>
      <c r="G32" s="334"/>
      <c r="H32" s="26">
        <f>I32+J32+K32</f>
        <v>64</v>
      </c>
      <c r="I32" s="28">
        <v>0</v>
      </c>
      <c r="J32" s="28">
        <v>64</v>
      </c>
      <c r="K32" s="28">
        <v>0</v>
      </c>
      <c r="L32" s="227" t="s">
        <v>566</v>
      </c>
    </row>
    <row r="33" spans="1:12" s="49" customFormat="1" ht="62.25" customHeight="1" x14ac:dyDescent="0.2">
      <c r="A33" s="343"/>
      <c r="B33" s="343"/>
      <c r="C33" s="343"/>
      <c r="D33" s="343"/>
      <c r="E33" s="301" t="s">
        <v>106</v>
      </c>
      <c r="F33" s="302"/>
      <c r="G33" s="303"/>
      <c r="H33" s="27">
        <f>H34+H35+H36</f>
        <v>21541.1</v>
      </c>
      <c r="I33" s="27">
        <f>I34+I35+I36</f>
        <v>6803.3</v>
      </c>
      <c r="J33" s="27">
        <f>J34+J35+J36</f>
        <v>6349.5</v>
      </c>
      <c r="K33" s="27">
        <f>K34+K35+K36</f>
        <v>8388.2999999999993</v>
      </c>
      <c r="L33" s="335"/>
    </row>
    <row r="34" spans="1:12" s="49" customFormat="1" ht="69.75" customHeight="1" x14ac:dyDescent="0.2">
      <c r="A34" s="343"/>
      <c r="B34" s="343"/>
      <c r="C34" s="343"/>
      <c r="D34" s="343"/>
      <c r="E34" s="220" t="s">
        <v>56</v>
      </c>
      <c r="F34" s="342" t="s">
        <v>131</v>
      </c>
      <c r="G34" s="343" t="s">
        <v>148</v>
      </c>
      <c r="H34" s="27">
        <f>H16+H19+H25+H30</f>
        <v>10084.9</v>
      </c>
      <c r="I34" s="27">
        <f>I16+I19+I25+I30</f>
        <v>2834.8</v>
      </c>
      <c r="J34" s="27">
        <f>J16+J19+J25+J30</f>
        <v>3456.7</v>
      </c>
      <c r="K34" s="27">
        <f>K16+K19+K25+K30</f>
        <v>3793.3999999999996</v>
      </c>
      <c r="L34" s="338"/>
    </row>
    <row r="35" spans="1:12" s="49" customFormat="1" ht="75" customHeight="1" x14ac:dyDescent="0.2">
      <c r="A35" s="343"/>
      <c r="B35" s="343"/>
      <c r="C35" s="343"/>
      <c r="D35" s="343"/>
      <c r="E35" s="229" t="s">
        <v>57</v>
      </c>
      <c r="F35" s="342"/>
      <c r="G35" s="343"/>
      <c r="H35" s="27">
        <f>H17+H20+H23+H26+H31+H32</f>
        <v>11456.2</v>
      </c>
      <c r="I35" s="27">
        <f>I17+I20+I23+I26+I31</f>
        <v>3968.5</v>
      </c>
      <c r="J35" s="27">
        <f>J17+J20+J23+J26+J31+J32</f>
        <v>2892.7999999999997</v>
      </c>
      <c r="K35" s="27">
        <f>K17+K20+K23+K26+K31</f>
        <v>4594.9000000000005</v>
      </c>
      <c r="L35" s="336"/>
    </row>
    <row r="36" spans="1:12" s="49" customFormat="1" ht="75" hidden="1" customHeight="1" x14ac:dyDescent="0.2">
      <c r="A36" s="343"/>
      <c r="B36" s="343"/>
      <c r="C36" s="343"/>
      <c r="D36" s="343"/>
      <c r="E36" s="253" t="s">
        <v>137</v>
      </c>
      <c r="F36" s="342"/>
      <c r="G36" s="343"/>
      <c r="H36" s="27">
        <f>H28</f>
        <v>0</v>
      </c>
      <c r="I36" s="27">
        <f>I28</f>
        <v>0</v>
      </c>
      <c r="J36" s="27">
        <f>J28</f>
        <v>0</v>
      </c>
      <c r="K36" s="27">
        <f>K28</f>
        <v>0</v>
      </c>
      <c r="L36" s="246"/>
    </row>
    <row r="37" spans="1:12" s="49" customFormat="1" ht="92.25" hidden="1" customHeight="1" x14ac:dyDescent="0.2">
      <c r="A37" s="98" t="s">
        <v>92</v>
      </c>
      <c r="B37" s="471" t="s">
        <v>405</v>
      </c>
      <c r="C37" s="354" t="s">
        <v>90</v>
      </c>
      <c r="D37" s="341" t="s">
        <v>118</v>
      </c>
      <c r="E37" s="341"/>
      <c r="F37" s="341"/>
      <c r="G37" s="341"/>
      <c r="H37" s="27">
        <f>H38+H39+H40+H41+H42</f>
        <v>0</v>
      </c>
      <c r="I37" s="27">
        <f>I38+I39+I40+I41+I42</f>
        <v>0</v>
      </c>
      <c r="J37" s="27">
        <f>J38+J39+J40+J41+J42</f>
        <v>0</v>
      </c>
      <c r="K37" s="27">
        <f>K38+K39+K40+K41+K42</f>
        <v>0</v>
      </c>
      <c r="L37" s="317" t="s">
        <v>119</v>
      </c>
    </row>
    <row r="38" spans="1:12" s="49" customFormat="1" ht="92.25" hidden="1" customHeight="1" x14ac:dyDescent="0.2">
      <c r="A38" s="99"/>
      <c r="B38" s="471"/>
      <c r="C38" s="354"/>
      <c r="D38" s="34" t="s">
        <v>26</v>
      </c>
      <c r="E38" s="220" t="s">
        <v>58</v>
      </c>
      <c r="F38" s="344" t="s">
        <v>131</v>
      </c>
      <c r="G38" s="342" t="s">
        <v>136</v>
      </c>
      <c r="H38" s="28">
        <f>I38+J38+K38</f>
        <v>0</v>
      </c>
      <c r="I38" s="28"/>
      <c r="J38" s="28"/>
      <c r="K38" s="28"/>
      <c r="L38" s="317"/>
    </row>
    <row r="39" spans="1:12" s="49" customFormat="1" ht="92.25" hidden="1" customHeight="1" x14ac:dyDescent="0.2">
      <c r="A39" s="99"/>
      <c r="B39" s="471"/>
      <c r="C39" s="354"/>
      <c r="D39" s="34" t="s">
        <v>26</v>
      </c>
      <c r="E39" s="220" t="s">
        <v>52</v>
      </c>
      <c r="F39" s="344"/>
      <c r="G39" s="342"/>
      <c r="H39" s="28">
        <f>I39+J39+K39</f>
        <v>0</v>
      </c>
      <c r="I39" s="28"/>
      <c r="J39" s="28"/>
      <c r="K39" s="28"/>
      <c r="L39" s="317"/>
    </row>
    <row r="40" spans="1:12" s="49" customFormat="1" ht="92.25" hidden="1" customHeight="1" x14ac:dyDescent="0.2">
      <c r="A40" s="99"/>
      <c r="B40" s="471"/>
      <c r="C40" s="354"/>
      <c r="D40" s="34" t="s">
        <v>26</v>
      </c>
      <c r="E40" s="220" t="s">
        <v>53</v>
      </c>
      <c r="F40" s="344"/>
      <c r="G40" s="342"/>
      <c r="H40" s="28">
        <f>I40+J40+K40</f>
        <v>0</v>
      </c>
      <c r="I40" s="28"/>
      <c r="J40" s="28"/>
      <c r="K40" s="28"/>
      <c r="L40" s="317"/>
    </row>
    <row r="41" spans="1:12" s="49" customFormat="1" ht="92.25" hidden="1" customHeight="1" x14ac:dyDescent="0.2">
      <c r="A41" s="99"/>
      <c r="B41" s="471"/>
      <c r="C41" s="354"/>
      <c r="D41" s="34" t="s">
        <v>26</v>
      </c>
      <c r="E41" s="220" t="s">
        <v>51</v>
      </c>
      <c r="F41" s="344"/>
      <c r="G41" s="342"/>
      <c r="H41" s="28">
        <f>I41+J41+K41</f>
        <v>0</v>
      </c>
      <c r="I41" s="28"/>
      <c r="J41" s="28"/>
      <c r="K41" s="28"/>
      <c r="L41" s="317"/>
    </row>
    <row r="42" spans="1:12" s="49" customFormat="1" ht="92.25" hidden="1" customHeight="1" x14ac:dyDescent="0.2">
      <c r="A42" s="99"/>
      <c r="B42" s="471"/>
      <c r="C42" s="354"/>
      <c r="D42" s="34" t="s">
        <v>26</v>
      </c>
      <c r="E42" s="220" t="s">
        <v>137</v>
      </c>
      <c r="F42" s="344"/>
      <c r="G42" s="342"/>
      <c r="H42" s="28">
        <f>I42+J42+K42</f>
        <v>0</v>
      </c>
      <c r="I42" s="28"/>
      <c r="J42" s="28"/>
      <c r="K42" s="28"/>
      <c r="L42" s="220"/>
    </row>
    <row r="43" spans="1:12" s="53" customFormat="1" ht="60" customHeight="1" x14ac:dyDescent="0.2">
      <c r="A43" s="304" t="s">
        <v>92</v>
      </c>
      <c r="B43" s="471"/>
      <c r="C43" s="354" t="s">
        <v>141</v>
      </c>
      <c r="D43" s="341" t="s">
        <v>258</v>
      </c>
      <c r="E43" s="341"/>
      <c r="F43" s="341"/>
      <c r="G43" s="341"/>
      <c r="H43" s="26">
        <f>SUM(H44:H48)</f>
        <v>136695.69999999998</v>
      </c>
      <c r="I43" s="26">
        <f>SUM(I44:I48)</f>
        <v>42367.7</v>
      </c>
      <c r="J43" s="26">
        <f>SUM(J44:J48)</f>
        <v>46813.700000000004</v>
      </c>
      <c r="K43" s="26">
        <f>SUM(K44:K48)</f>
        <v>47514.3</v>
      </c>
      <c r="L43" s="317" t="s">
        <v>453</v>
      </c>
    </row>
    <row r="44" spans="1:12" ht="75" customHeight="1" x14ac:dyDescent="0.3">
      <c r="A44" s="304"/>
      <c r="B44" s="471"/>
      <c r="C44" s="354"/>
      <c r="D44" s="34" t="s">
        <v>26</v>
      </c>
      <c r="E44" s="220" t="s">
        <v>58</v>
      </c>
      <c r="F44" s="342" t="s">
        <v>131</v>
      </c>
      <c r="G44" s="342" t="s">
        <v>148</v>
      </c>
      <c r="H44" s="26">
        <f t="shared" ref="H44:H52" si="0">I44+J44+K44</f>
        <v>25397.300000000003</v>
      </c>
      <c r="I44" s="28">
        <v>7485</v>
      </c>
      <c r="J44" s="28">
        <v>8818.7000000000007</v>
      </c>
      <c r="K44" s="28">
        <v>9093.6</v>
      </c>
      <c r="L44" s="317"/>
    </row>
    <row r="45" spans="1:12" ht="57.75" customHeight="1" x14ac:dyDescent="0.3">
      <c r="A45" s="304"/>
      <c r="B45" s="471"/>
      <c r="C45" s="354"/>
      <c r="D45" s="34" t="s">
        <v>26</v>
      </c>
      <c r="E45" s="220" t="s">
        <v>52</v>
      </c>
      <c r="F45" s="342"/>
      <c r="G45" s="342"/>
      <c r="H45" s="26">
        <f t="shared" si="0"/>
        <v>29086.799999999999</v>
      </c>
      <c r="I45" s="28">
        <v>9899.7000000000007</v>
      </c>
      <c r="J45" s="28">
        <v>10433.299999999999</v>
      </c>
      <c r="K45" s="28">
        <v>8753.7999999999993</v>
      </c>
      <c r="L45" s="317"/>
    </row>
    <row r="46" spans="1:12" s="49" customFormat="1" ht="54.75" customHeight="1" x14ac:dyDescent="0.2">
      <c r="A46" s="304"/>
      <c r="B46" s="471"/>
      <c r="C46" s="354"/>
      <c r="D46" s="34" t="s">
        <v>26</v>
      </c>
      <c r="E46" s="220" t="s">
        <v>53</v>
      </c>
      <c r="F46" s="342"/>
      <c r="G46" s="342"/>
      <c r="H46" s="26">
        <f t="shared" si="0"/>
        <v>39592.199999999997</v>
      </c>
      <c r="I46" s="28">
        <v>11953.3</v>
      </c>
      <c r="J46" s="28">
        <v>13128.7</v>
      </c>
      <c r="K46" s="28">
        <v>14510.2</v>
      </c>
      <c r="L46" s="317"/>
    </row>
    <row r="47" spans="1:12" s="49" customFormat="1" ht="65.25" customHeight="1" x14ac:dyDescent="0.2">
      <c r="A47" s="304"/>
      <c r="B47" s="471"/>
      <c r="C47" s="354"/>
      <c r="D47" s="34" t="s">
        <v>26</v>
      </c>
      <c r="E47" s="220" t="s">
        <v>51</v>
      </c>
      <c r="F47" s="342"/>
      <c r="G47" s="342"/>
      <c r="H47" s="26">
        <f t="shared" si="0"/>
        <v>28245.899999999998</v>
      </c>
      <c r="I47" s="28">
        <v>8736</v>
      </c>
      <c r="J47" s="28">
        <v>9426.6</v>
      </c>
      <c r="K47" s="28">
        <v>10083.299999999999</v>
      </c>
      <c r="L47" s="317"/>
    </row>
    <row r="48" spans="1:12" s="49" customFormat="1" ht="75" customHeight="1" x14ac:dyDescent="0.2">
      <c r="A48" s="304"/>
      <c r="B48" s="471"/>
      <c r="C48" s="354"/>
      <c r="D48" s="34" t="s">
        <v>26</v>
      </c>
      <c r="E48" s="220" t="s">
        <v>137</v>
      </c>
      <c r="F48" s="342"/>
      <c r="G48" s="342"/>
      <c r="H48" s="26">
        <f t="shared" si="0"/>
        <v>14373.499999999998</v>
      </c>
      <c r="I48" s="28">
        <v>4293.7</v>
      </c>
      <c r="J48" s="28">
        <v>5006.3999999999996</v>
      </c>
      <c r="K48" s="28">
        <v>5073.3999999999996</v>
      </c>
      <c r="L48" s="317"/>
    </row>
    <row r="49" spans="1:12" ht="114" customHeight="1" x14ac:dyDescent="0.3">
      <c r="A49" s="304"/>
      <c r="B49" s="471"/>
      <c r="C49" s="244" t="s">
        <v>153</v>
      </c>
      <c r="D49" s="35" t="s">
        <v>26</v>
      </c>
      <c r="E49" s="220" t="s">
        <v>58</v>
      </c>
      <c r="F49" s="240" t="s">
        <v>131</v>
      </c>
      <c r="G49" s="240" t="s">
        <v>148</v>
      </c>
      <c r="H49" s="26">
        <f t="shared" si="0"/>
        <v>989.7</v>
      </c>
      <c r="I49" s="28">
        <v>318.7</v>
      </c>
      <c r="J49" s="28">
        <v>318.7</v>
      </c>
      <c r="K49" s="28">
        <v>352.3</v>
      </c>
      <c r="L49" s="246" t="s">
        <v>489</v>
      </c>
    </row>
    <row r="50" spans="1:12" s="49" customFormat="1" ht="197.25" customHeight="1" x14ac:dyDescent="0.2">
      <c r="A50" s="304"/>
      <c r="B50" s="471"/>
      <c r="C50" s="100" t="s">
        <v>250</v>
      </c>
      <c r="D50" s="34" t="s">
        <v>26</v>
      </c>
      <c r="E50" s="220" t="s">
        <v>53</v>
      </c>
      <c r="F50" s="240" t="s">
        <v>131</v>
      </c>
      <c r="G50" s="240" t="s">
        <v>148</v>
      </c>
      <c r="H50" s="26">
        <f t="shared" si="0"/>
        <v>201.7</v>
      </c>
      <c r="I50" s="28">
        <v>201.7</v>
      </c>
      <c r="J50" s="28">
        <v>0</v>
      </c>
      <c r="K50" s="28">
        <v>0</v>
      </c>
      <c r="L50" s="246" t="s">
        <v>362</v>
      </c>
    </row>
    <row r="51" spans="1:12" ht="300" customHeight="1" x14ac:dyDescent="0.3">
      <c r="A51" s="304"/>
      <c r="B51" s="471"/>
      <c r="C51" s="101" t="s">
        <v>251</v>
      </c>
      <c r="D51" s="35" t="s">
        <v>30</v>
      </c>
      <c r="E51" s="220" t="s">
        <v>52</v>
      </c>
      <c r="F51" s="240" t="s">
        <v>131</v>
      </c>
      <c r="G51" s="240" t="s">
        <v>149</v>
      </c>
      <c r="H51" s="26">
        <f t="shared" si="0"/>
        <v>6596.4</v>
      </c>
      <c r="I51" s="36">
        <v>2124</v>
      </c>
      <c r="J51" s="28">
        <v>2124</v>
      </c>
      <c r="K51" s="36">
        <v>2348.4</v>
      </c>
      <c r="L51" s="246" t="s">
        <v>122</v>
      </c>
    </row>
    <row r="52" spans="1:12" ht="274.5" customHeight="1" x14ac:dyDescent="0.3">
      <c r="A52" s="304"/>
      <c r="B52" s="471"/>
      <c r="C52" s="102" t="s">
        <v>342</v>
      </c>
      <c r="D52" s="35" t="s">
        <v>26</v>
      </c>
      <c r="E52" s="220" t="s">
        <v>51</v>
      </c>
      <c r="F52" s="240" t="s">
        <v>131</v>
      </c>
      <c r="G52" s="240" t="s">
        <v>150</v>
      </c>
      <c r="H52" s="26">
        <f t="shared" si="0"/>
        <v>6233.5</v>
      </c>
      <c r="I52" s="28">
        <f>2138.5+50.4</f>
        <v>2188.9</v>
      </c>
      <c r="J52" s="28">
        <f>2480.4+8.5-98.4</f>
        <v>2390.5</v>
      </c>
      <c r="K52" s="28">
        <v>1654.1</v>
      </c>
      <c r="L52" s="159" t="s">
        <v>343</v>
      </c>
    </row>
    <row r="53" spans="1:12" ht="63.75" customHeight="1" x14ac:dyDescent="0.3">
      <c r="A53" s="304"/>
      <c r="B53" s="471"/>
      <c r="C53" s="330" t="s">
        <v>404</v>
      </c>
      <c r="D53" s="341" t="s">
        <v>260</v>
      </c>
      <c r="E53" s="341"/>
      <c r="F53" s="341"/>
      <c r="G53" s="341"/>
      <c r="H53" s="26">
        <f t="shared" ref="H53:H58" si="1">I53</f>
        <v>4107.6000000000004</v>
      </c>
      <c r="I53" s="28">
        <v>4107.6000000000004</v>
      </c>
      <c r="J53" s="28"/>
      <c r="K53" s="28"/>
      <c r="L53" s="330" t="s">
        <v>384</v>
      </c>
    </row>
    <row r="54" spans="1:12" ht="63.75" customHeight="1" x14ac:dyDescent="0.3">
      <c r="A54" s="304"/>
      <c r="B54" s="471"/>
      <c r="C54" s="331"/>
      <c r="D54" s="34" t="s">
        <v>26</v>
      </c>
      <c r="E54" s="220" t="s">
        <v>52</v>
      </c>
      <c r="F54" s="333" t="s">
        <v>131</v>
      </c>
      <c r="G54" s="333" t="s">
        <v>150</v>
      </c>
      <c r="H54" s="26">
        <f t="shared" si="1"/>
        <v>3838.4</v>
      </c>
      <c r="I54" s="28">
        <v>3838.4</v>
      </c>
      <c r="J54" s="28"/>
      <c r="K54" s="28"/>
      <c r="L54" s="331"/>
    </row>
    <row r="55" spans="1:12" ht="63.75" customHeight="1" x14ac:dyDescent="0.3">
      <c r="A55" s="304"/>
      <c r="B55" s="471"/>
      <c r="C55" s="331"/>
      <c r="D55" s="34" t="s">
        <v>30</v>
      </c>
      <c r="E55" s="220" t="s">
        <v>58</v>
      </c>
      <c r="F55" s="339"/>
      <c r="G55" s="339"/>
      <c r="H55" s="26">
        <f t="shared" si="1"/>
        <v>100</v>
      </c>
      <c r="I55" s="28">
        <v>100</v>
      </c>
      <c r="J55" s="28"/>
      <c r="K55" s="28"/>
      <c r="L55" s="331"/>
    </row>
    <row r="56" spans="1:12" ht="63.75" customHeight="1" x14ac:dyDescent="0.3">
      <c r="A56" s="304"/>
      <c r="B56" s="471"/>
      <c r="C56" s="331"/>
      <c r="D56" s="34" t="s">
        <v>26</v>
      </c>
      <c r="E56" s="220" t="s">
        <v>58</v>
      </c>
      <c r="F56" s="339"/>
      <c r="G56" s="339"/>
      <c r="H56" s="26">
        <f t="shared" si="1"/>
        <v>0</v>
      </c>
      <c r="I56" s="28">
        <v>0</v>
      </c>
      <c r="J56" s="28"/>
      <c r="K56" s="28"/>
      <c r="L56" s="331"/>
    </row>
    <row r="57" spans="1:12" ht="57" customHeight="1" x14ac:dyDescent="0.3">
      <c r="A57" s="304"/>
      <c r="B57" s="471"/>
      <c r="C57" s="331"/>
      <c r="D57" s="34" t="s">
        <v>26</v>
      </c>
      <c r="E57" s="220" t="s">
        <v>137</v>
      </c>
      <c r="F57" s="339"/>
      <c r="G57" s="339"/>
      <c r="H57" s="26">
        <f t="shared" si="1"/>
        <v>169.2</v>
      </c>
      <c r="I57" s="28">
        <v>169.2</v>
      </c>
      <c r="J57" s="28"/>
      <c r="K57" s="28"/>
      <c r="L57" s="332"/>
    </row>
    <row r="58" spans="1:12" ht="111" hidden="1" customHeight="1" x14ac:dyDescent="0.3">
      <c r="A58" s="304"/>
      <c r="B58" s="471"/>
      <c r="C58" s="332"/>
      <c r="D58" s="34" t="s">
        <v>30</v>
      </c>
      <c r="E58" s="220" t="s">
        <v>133</v>
      </c>
      <c r="F58" s="334"/>
      <c r="G58" s="334"/>
      <c r="H58" s="26">
        <f t="shared" si="1"/>
        <v>0</v>
      </c>
      <c r="I58" s="28">
        <v>0</v>
      </c>
      <c r="J58" s="28"/>
      <c r="K58" s="28"/>
      <c r="L58" s="234" t="s">
        <v>331</v>
      </c>
    </row>
    <row r="59" spans="1:12" ht="67.5" customHeight="1" x14ac:dyDescent="0.3">
      <c r="A59" s="304"/>
      <c r="B59" s="471"/>
      <c r="C59" s="330" t="s">
        <v>444</v>
      </c>
      <c r="D59" s="341" t="s">
        <v>259</v>
      </c>
      <c r="E59" s="341"/>
      <c r="F59" s="341"/>
      <c r="G59" s="341"/>
      <c r="H59" s="26">
        <f>SUM(H60:H65)</f>
        <v>4405.2</v>
      </c>
      <c r="I59" s="26"/>
      <c r="J59" s="26">
        <f>SUM(J60:J65)</f>
        <v>4305.2</v>
      </c>
      <c r="K59" s="26">
        <f>SUM(K60:K65)</f>
        <v>100</v>
      </c>
      <c r="L59" s="330" t="s">
        <v>505</v>
      </c>
    </row>
    <row r="60" spans="1:12" ht="60" hidden="1" customHeight="1" x14ac:dyDescent="0.3">
      <c r="A60" s="304"/>
      <c r="B60" s="471"/>
      <c r="C60" s="331"/>
      <c r="D60" s="34" t="s">
        <v>26</v>
      </c>
      <c r="E60" s="220" t="s">
        <v>51</v>
      </c>
      <c r="F60" s="333" t="s">
        <v>131</v>
      </c>
      <c r="G60" s="333" t="s">
        <v>150</v>
      </c>
      <c r="H60" s="26">
        <f t="shared" ref="H60:H65" si="2">I60+J60+K60</f>
        <v>0</v>
      </c>
      <c r="I60" s="28"/>
      <c r="J60" s="28">
        <v>0</v>
      </c>
      <c r="K60" s="28">
        <v>0</v>
      </c>
      <c r="L60" s="331"/>
    </row>
    <row r="61" spans="1:12" ht="43.5" customHeight="1" x14ac:dyDescent="0.3">
      <c r="A61" s="304"/>
      <c r="B61" s="471"/>
      <c r="C61" s="331"/>
      <c r="D61" s="34" t="s">
        <v>26</v>
      </c>
      <c r="E61" s="220" t="s">
        <v>52</v>
      </c>
      <c r="F61" s="339"/>
      <c r="G61" s="339"/>
      <c r="H61" s="26">
        <f t="shared" si="2"/>
        <v>954.4</v>
      </c>
      <c r="I61" s="28"/>
      <c r="J61" s="28">
        <v>954.4</v>
      </c>
      <c r="K61" s="28">
        <v>0</v>
      </c>
      <c r="L61" s="331"/>
    </row>
    <row r="62" spans="1:12" ht="64.5" customHeight="1" x14ac:dyDescent="0.3">
      <c r="A62" s="304"/>
      <c r="B62" s="471"/>
      <c r="C62" s="331"/>
      <c r="D62" s="34" t="s">
        <v>30</v>
      </c>
      <c r="E62" s="220" t="s">
        <v>58</v>
      </c>
      <c r="F62" s="339"/>
      <c r="G62" s="339"/>
      <c r="H62" s="26">
        <f t="shared" si="2"/>
        <v>200</v>
      </c>
      <c r="I62" s="28"/>
      <c r="J62" s="28">
        <v>100</v>
      </c>
      <c r="K62" s="28">
        <v>100</v>
      </c>
      <c r="L62" s="331"/>
    </row>
    <row r="63" spans="1:12" ht="72" customHeight="1" x14ac:dyDescent="0.3">
      <c r="A63" s="304"/>
      <c r="B63" s="471"/>
      <c r="C63" s="331"/>
      <c r="D63" s="34" t="s">
        <v>26</v>
      </c>
      <c r="E63" s="220" t="s">
        <v>58</v>
      </c>
      <c r="F63" s="339"/>
      <c r="G63" s="339"/>
      <c r="H63" s="26">
        <f t="shared" si="2"/>
        <v>3198.5</v>
      </c>
      <c r="I63" s="28"/>
      <c r="J63" s="28">
        <v>3198.5</v>
      </c>
      <c r="K63" s="28">
        <v>0</v>
      </c>
      <c r="L63" s="331"/>
    </row>
    <row r="64" spans="1:12" ht="139.5" customHeight="1" x14ac:dyDescent="0.3">
      <c r="A64" s="304"/>
      <c r="B64" s="471"/>
      <c r="C64" s="331"/>
      <c r="D64" s="34" t="s">
        <v>26</v>
      </c>
      <c r="E64" s="220" t="s">
        <v>137</v>
      </c>
      <c r="F64" s="339"/>
      <c r="G64" s="339"/>
      <c r="H64" s="26">
        <f t="shared" si="2"/>
        <v>52.3</v>
      </c>
      <c r="I64" s="28"/>
      <c r="J64" s="28">
        <v>52.3</v>
      </c>
      <c r="K64" s="28">
        <v>0</v>
      </c>
      <c r="L64" s="332"/>
    </row>
    <row r="65" spans="1:12" ht="119.25" hidden="1" customHeight="1" x14ac:dyDescent="0.3">
      <c r="A65" s="304"/>
      <c r="B65" s="471"/>
      <c r="C65" s="332"/>
      <c r="D65" s="34" t="s">
        <v>30</v>
      </c>
      <c r="E65" s="220" t="s">
        <v>133</v>
      </c>
      <c r="F65" s="334"/>
      <c r="G65" s="334"/>
      <c r="H65" s="26">
        <f t="shared" si="2"/>
        <v>0</v>
      </c>
      <c r="I65" s="28"/>
      <c r="J65" s="28">
        <f>1000-100-900</f>
        <v>0</v>
      </c>
      <c r="K65" s="28">
        <v>0</v>
      </c>
      <c r="L65" s="236" t="s">
        <v>514</v>
      </c>
    </row>
    <row r="66" spans="1:12" ht="138.75" customHeight="1" x14ac:dyDescent="0.3">
      <c r="A66" s="304"/>
      <c r="B66" s="471"/>
      <c r="C66" s="102" t="s">
        <v>409</v>
      </c>
      <c r="D66" s="341" t="s">
        <v>261</v>
      </c>
      <c r="E66" s="341"/>
      <c r="F66" s="341"/>
      <c r="G66" s="341"/>
      <c r="H66" s="26">
        <f>H67+H68+H69+H70+H71</f>
        <v>3500</v>
      </c>
      <c r="I66" s="26">
        <f>I67+I68+I69+I70+I71</f>
        <v>1200</v>
      </c>
      <c r="J66" s="26">
        <f>J67+J68+J69+J70+J71</f>
        <v>2300</v>
      </c>
      <c r="K66" s="26">
        <f>K67+K68+K69+K70+K71</f>
        <v>0</v>
      </c>
      <c r="L66" s="230" t="s">
        <v>356</v>
      </c>
    </row>
    <row r="67" spans="1:12" ht="115.5" customHeight="1" x14ac:dyDescent="0.3">
      <c r="A67" s="304"/>
      <c r="B67" s="471"/>
      <c r="C67" s="330" t="s">
        <v>410</v>
      </c>
      <c r="D67" s="35" t="s">
        <v>26</v>
      </c>
      <c r="E67" s="220" t="s">
        <v>58</v>
      </c>
      <c r="F67" s="333" t="s">
        <v>131</v>
      </c>
      <c r="G67" s="335" t="s">
        <v>150</v>
      </c>
      <c r="H67" s="26">
        <f>I67</f>
        <v>1000</v>
      </c>
      <c r="I67" s="26">
        <v>1000</v>
      </c>
      <c r="J67" s="26"/>
      <c r="K67" s="26"/>
      <c r="L67" s="330" t="s">
        <v>385</v>
      </c>
    </row>
    <row r="68" spans="1:12" ht="75" hidden="1" customHeight="1" x14ac:dyDescent="0.3">
      <c r="A68" s="304"/>
      <c r="B68" s="471"/>
      <c r="C68" s="332"/>
      <c r="D68" s="35" t="s">
        <v>26</v>
      </c>
      <c r="E68" s="220" t="s">
        <v>137</v>
      </c>
      <c r="F68" s="334"/>
      <c r="G68" s="336"/>
      <c r="H68" s="26">
        <f>I68</f>
        <v>0</v>
      </c>
      <c r="I68" s="26">
        <v>0</v>
      </c>
      <c r="J68" s="26"/>
      <c r="K68" s="26"/>
      <c r="L68" s="332"/>
    </row>
    <row r="69" spans="1:12" ht="117" customHeight="1" x14ac:dyDescent="0.3">
      <c r="A69" s="304"/>
      <c r="B69" s="471"/>
      <c r="C69" s="330" t="s">
        <v>411</v>
      </c>
      <c r="D69" s="35" t="s">
        <v>26</v>
      </c>
      <c r="E69" s="220" t="s">
        <v>58</v>
      </c>
      <c r="F69" s="342" t="s">
        <v>131</v>
      </c>
      <c r="G69" s="240" t="s">
        <v>150</v>
      </c>
      <c r="H69" s="26">
        <f>I69+J69+K69</f>
        <v>1100</v>
      </c>
      <c r="I69" s="28"/>
      <c r="J69" s="28">
        <f>1000+100</f>
        <v>1100</v>
      </c>
      <c r="K69" s="28">
        <v>0</v>
      </c>
      <c r="L69" s="330" t="s">
        <v>363</v>
      </c>
    </row>
    <row r="70" spans="1:12" ht="117" customHeight="1" x14ac:dyDescent="0.3">
      <c r="A70" s="304"/>
      <c r="B70" s="471"/>
      <c r="C70" s="332"/>
      <c r="D70" s="35" t="s">
        <v>26</v>
      </c>
      <c r="E70" s="220" t="s">
        <v>137</v>
      </c>
      <c r="F70" s="342"/>
      <c r="G70" s="240" t="s">
        <v>150</v>
      </c>
      <c r="H70" s="26">
        <f>I70+J70+K70</f>
        <v>1000</v>
      </c>
      <c r="I70" s="28"/>
      <c r="J70" s="28">
        <v>1000</v>
      </c>
      <c r="K70" s="28">
        <v>0</v>
      </c>
      <c r="L70" s="332"/>
    </row>
    <row r="71" spans="1:12" ht="175.5" customHeight="1" x14ac:dyDescent="0.3">
      <c r="A71" s="304"/>
      <c r="B71" s="471"/>
      <c r="C71" s="102" t="s">
        <v>412</v>
      </c>
      <c r="D71" s="35" t="s">
        <v>26</v>
      </c>
      <c r="E71" s="220" t="s">
        <v>53</v>
      </c>
      <c r="F71" s="342"/>
      <c r="G71" s="240" t="s">
        <v>150</v>
      </c>
      <c r="H71" s="26">
        <f>I71+J71+K71</f>
        <v>400</v>
      </c>
      <c r="I71" s="28">
        <v>200</v>
      </c>
      <c r="J71" s="28">
        <v>200</v>
      </c>
      <c r="K71" s="28">
        <v>0</v>
      </c>
      <c r="L71" s="230" t="s">
        <v>138</v>
      </c>
    </row>
    <row r="72" spans="1:12" ht="163.5" customHeight="1" x14ac:dyDescent="0.3">
      <c r="A72" s="304"/>
      <c r="B72" s="471"/>
      <c r="C72" s="102" t="s">
        <v>413</v>
      </c>
      <c r="D72" s="337" t="s">
        <v>350</v>
      </c>
      <c r="E72" s="337"/>
      <c r="F72" s="337"/>
      <c r="G72" s="337"/>
      <c r="H72" s="26">
        <f>H73+H74+H75+H76+H77+H78</f>
        <v>2999.1</v>
      </c>
      <c r="I72" s="26">
        <f>I73+I74+I75+I76+I77+I78</f>
        <v>653.29999999999995</v>
      </c>
      <c r="J72" s="26">
        <f>J73+J74+J75+J76+J77+J78</f>
        <v>584.49999999999989</v>
      </c>
      <c r="K72" s="26">
        <f>K73+K74+K75+K76+K77+K78</f>
        <v>1761.3</v>
      </c>
      <c r="L72" s="230"/>
    </row>
    <row r="73" spans="1:12" ht="81.75" customHeight="1" x14ac:dyDescent="0.3">
      <c r="A73" s="304"/>
      <c r="B73" s="471"/>
      <c r="C73" s="102" t="s">
        <v>414</v>
      </c>
      <c r="D73" s="35" t="s">
        <v>26</v>
      </c>
      <c r="E73" s="220" t="s">
        <v>51</v>
      </c>
      <c r="F73" s="257" t="s">
        <v>131</v>
      </c>
      <c r="G73" s="240" t="s">
        <v>150</v>
      </c>
      <c r="H73" s="26">
        <f>I73</f>
        <v>93.6</v>
      </c>
      <c r="I73" s="26">
        <v>93.6</v>
      </c>
      <c r="J73" s="26"/>
      <c r="K73" s="26"/>
      <c r="L73" s="230" t="s">
        <v>386</v>
      </c>
    </row>
    <row r="74" spans="1:12" ht="118.5" customHeight="1" x14ac:dyDescent="0.3">
      <c r="A74" s="304"/>
      <c r="B74" s="471"/>
      <c r="C74" s="102" t="s">
        <v>415</v>
      </c>
      <c r="D74" s="35" t="s">
        <v>26</v>
      </c>
      <c r="E74" s="220" t="s">
        <v>51</v>
      </c>
      <c r="F74" s="221" t="s">
        <v>131</v>
      </c>
      <c r="G74" s="240" t="s">
        <v>150</v>
      </c>
      <c r="H74" s="26">
        <f>I74+J74+K74</f>
        <v>226.2</v>
      </c>
      <c r="I74" s="28"/>
      <c r="J74" s="28">
        <f>110-1.2</f>
        <v>108.8</v>
      </c>
      <c r="K74" s="28">
        <v>117.4</v>
      </c>
      <c r="L74" s="159" t="s">
        <v>506</v>
      </c>
    </row>
    <row r="75" spans="1:12" ht="118.5" customHeight="1" x14ac:dyDescent="0.3">
      <c r="A75" s="304"/>
      <c r="B75" s="471"/>
      <c r="C75" s="102" t="s">
        <v>416</v>
      </c>
      <c r="D75" s="35" t="s">
        <v>26</v>
      </c>
      <c r="E75" s="220" t="s">
        <v>51</v>
      </c>
      <c r="F75" s="109"/>
      <c r="G75" s="240" t="s">
        <v>150</v>
      </c>
      <c r="H75" s="26">
        <f>I75</f>
        <v>106.8</v>
      </c>
      <c r="I75" s="28">
        <v>106.8</v>
      </c>
      <c r="J75" s="28"/>
      <c r="K75" s="28"/>
      <c r="L75" s="159" t="s">
        <v>387</v>
      </c>
    </row>
    <row r="76" spans="1:12" ht="118.5" customHeight="1" x14ac:dyDescent="0.3">
      <c r="A76" s="304"/>
      <c r="B76" s="471"/>
      <c r="C76" s="102" t="s">
        <v>483</v>
      </c>
      <c r="D76" s="35" t="s">
        <v>26</v>
      </c>
      <c r="E76" s="220" t="s">
        <v>51</v>
      </c>
      <c r="F76" s="109"/>
      <c r="G76" s="240" t="s">
        <v>150</v>
      </c>
      <c r="H76" s="26">
        <f>I76+J76+K76</f>
        <v>587.1</v>
      </c>
      <c r="I76" s="28"/>
      <c r="J76" s="28">
        <f>527.2-527.2</f>
        <v>0</v>
      </c>
      <c r="K76" s="28">
        <v>587.1</v>
      </c>
      <c r="L76" s="159" t="s">
        <v>357</v>
      </c>
    </row>
    <row r="77" spans="1:12" ht="118.5" customHeight="1" x14ac:dyDescent="0.3">
      <c r="A77" s="304"/>
      <c r="B77" s="471"/>
      <c r="C77" s="102" t="s">
        <v>417</v>
      </c>
      <c r="D77" s="35" t="s">
        <v>26</v>
      </c>
      <c r="E77" s="220" t="s">
        <v>51</v>
      </c>
      <c r="F77" s="109"/>
      <c r="G77" s="240" t="s">
        <v>150</v>
      </c>
      <c r="H77" s="26">
        <f>I77</f>
        <v>452.9</v>
      </c>
      <c r="I77" s="28">
        <v>452.9</v>
      </c>
      <c r="J77" s="28"/>
      <c r="K77" s="28"/>
      <c r="L77" s="159" t="s">
        <v>388</v>
      </c>
    </row>
    <row r="78" spans="1:12" ht="154.5" customHeight="1" x14ac:dyDescent="0.3">
      <c r="A78" s="304"/>
      <c r="B78" s="471"/>
      <c r="C78" s="102" t="s">
        <v>418</v>
      </c>
      <c r="D78" s="35" t="s">
        <v>26</v>
      </c>
      <c r="E78" s="220" t="s">
        <v>51</v>
      </c>
      <c r="F78" s="109"/>
      <c r="G78" s="240" t="s">
        <v>150</v>
      </c>
      <c r="H78" s="26">
        <f>I78+J78+K78</f>
        <v>1532.5</v>
      </c>
      <c r="I78" s="28"/>
      <c r="J78" s="28">
        <f>955.8-480.1</f>
        <v>475.69999999999993</v>
      </c>
      <c r="K78" s="28">
        <v>1056.8</v>
      </c>
      <c r="L78" s="159" t="s">
        <v>368</v>
      </c>
    </row>
    <row r="79" spans="1:12" ht="54" customHeight="1" x14ac:dyDescent="0.3">
      <c r="A79" s="304"/>
      <c r="B79" s="471"/>
      <c r="C79" s="330" t="s">
        <v>419</v>
      </c>
      <c r="D79" s="337" t="s">
        <v>320</v>
      </c>
      <c r="E79" s="337"/>
      <c r="F79" s="337"/>
      <c r="G79" s="337"/>
      <c r="H79" s="26">
        <f>I79</f>
        <v>1748.4</v>
      </c>
      <c r="I79" s="28">
        <f>I80+I81+I82</f>
        <v>1748.4</v>
      </c>
      <c r="J79" s="28"/>
      <c r="K79" s="28"/>
      <c r="L79" s="159"/>
    </row>
    <row r="80" spans="1:12" ht="171.75" customHeight="1" x14ac:dyDescent="0.3">
      <c r="A80" s="304"/>
      <c r="B80" s="471"/>
      <c r="C80" s="331"/>
      <c r="D80" s="35" t="s">
        <v>26</v>
      </c>
      <c r="E80" s="220" t="s">
        <v>51</v>
      </c>
      <c r="F80" s="109"/>
      <c r="G80" s="333" t="s">
        <v>150</v>
      </c>
      <c r="H80" s="26">
        <f>I80</f>
        <v>1003.4</v>
      </c>
      <c r="I80" s="28">
        <f>50+199.9+50+688.5+15</f>
        <v>1003.4</v>
      </c>
      <c r="J80" s="28"/>
      <c r="K80" s="28"/>
      <c r="L80" s="330" t="s">
        <v>389</v>
      </c>
    </row>
    <row r="81" spans="1:13" ht="90" customHeight="1" x14ac:dyDescent="0.3">
      <c r="A81" s="304"/>
      <c r="B81" s="471"/>
      <c r="C81" s="331"/>
      <c r="D81" s="35" t="s">
        <v>26</v>
      </c>
      <c r="E81" s="220" t="s">
        <v>137</v>
      </c>
      <c r="F81" s="109"/>
      <c r="G81" s="334"/>
      <c r="H81" s="26">
        <f>I81</f>
        <v>250</v>
      </c>
      <c r="I81" s="33">
        <f>200+50</f>
        <v>250</v>
      </c>
      <c r="J81" s="28"/>
      <c r="K81" s="28"/>
      <c r="L81" s="332"/>
    </row>
    <row r="82" spans="1:13" ht="119.25" customHeight="1" x14ac:dyDescent="0.3">
      <c r="A82" s="304"/>
      <c r="B82" s="471"/>
      <c r="C82" s="332"/>
      <c r="D82" s="35" t="s">
        <v>26</v>
      </c>
      <c r="E82" s="220" t="s">
        <v>137</v>
      </c>
      <c r="F82" s="109"/>
      <c r="G82" s="223" t="s">
        <v>349</v>
      </c>
      <c r="H82" s="26">
        <f>I82</f>
        <v>495</v>
      </c>
      <c r="I82" s="33">
        <v>495</v>
      </c>
      <c r="J82" s="28"/>
      <c r="K82" s="28"/>
      <c r="L82" s="171" t="s">
        <v>364</v>
      </c>
    </row>
    <row r="83" spans="1:13" ht="66.75" customHeight="1" x14ac:dyDescent="0.3">
      <c r="A83" s="304"/>
      <c r="B83" s="471"/>
      <c r="C83" s="330" t="s">
        <v>421</v>
      </c>
      <c r="D83" s="337" t="s">
        <v>420</v>
      </c>
      <c r="E83" s="337"/>
      <c r="F83" s="337"/>
      <c r="G83" s="337"/>
      <c r="H83" s="26">
        <f>H84+H85+H86</f>
        <v>5079.3</v>
      </c>
      <c r="I83" s="26"/>
      <c r="J83" s="26">
        <f>SUM(J84:J86)</f>
        <v>5079.3</v>
      </c>
      <c r="K83" s="26">
        <f>SUM(K84:K86)</f>
        <v>0</v>
      </c>
      <c r="L83" s="159"/>
    </row>
    <row r="84" spans="1:13" ht="89.25" customHeight="1" x14ac:dyDescent="0.3">
      <c r="A84" s="304"/>
      <c r="B84" s="471"/>
      <c r="C84" s="331"/>
      <c r="D84" s="35" t="s">
        <v>26</v>
      </c>
      <c r="E84" s="220" t="s">
        <v>51</v>
      </c>
      <c r="F84" s="109"/>
      <c r="G84" s="342" t="s">
        <v>150</v>
      </c>
      <c r="H84" s="26">
        <f>I84+J84+K84</f>
        <v>4334.7</v>
      </c>
      <c r="I84" s="28"/>
      <c r="J84" s="28">
        <f>600+15+3000+99.7+138.7+480.1+1.2</f>
        <v>4334.7</v>
      </c>
      <c r="K84" s="28">
        <v>0</v>
      </c>
      <c r="L84" s="330" t="s">
        <v>557</v>
      </c>
    </row>
    <row r="85" spans="1:13" ht="90" customHeight="1" x14ac:dyDescent="0.3">
      <c r="A85" s="304"/>
      <c r="B85" s="471"/>
      <c r="C85" s="331"/>
      <c r="D85" s="35" t="s">
        <v>26</v>
      </c>
      <c r="E85" s="220" t="s">
        <v>137</v>
      </c>
      <c r="F85" s="109"/>
      <c r="G85" s="342"/>
      <c r="H85" s="32">
        <f>I85+J85+K85</f>
        <v>710</v>
      </c>
      <c r="I85" s="33"/>
      <c r="J85" s="33">
        <v>710</v>
      </c>
      <c r="K85" s="33">
        <v>0</v>
      </c>
      <c r="L85" s="331"/>
    </row>
    <row r="86" spans="1:13" ht="108" customHeight="1" x14ac:dyDescent="0.3">
      <c r="A86" s="304"/>
      <c r="B86" s="471"/>
      <c r="C86" s="332"/>
      <c r="D86" s="35" t="s">
        <v>26</v>
      </c>
      <c r="E86" s="220" t="s">
        <v>137</v>
      </c>
      <c r="F86" s="110"/>
      <c r="G86" s="240" t="s">
        <v>545</v>
      </c>
      <c r="H86" s="32">
        <f>I86+J86+K86</f>
        <v>34.6</v>
      </c>
      <c r="I86" s="33"/>
      <c r="J86" s="33">
        <v>34.6</v>
      </c>
      <c r="K86" s="33">
        <v>0</v>
      </c>
      <c r="L86" s="332"/>
    </row>
    <row r="87" spans="1:13" ht="77.25" customHeight="1" x14ac:dyDescent="0.3">
      <c r="A87" s="304"/>
      <c r="B87" s="471"/>
      <c r="C87" s="330" t="s">
        <v>540</v>
      </c>
      <c r="D87" s="341" t="s">
        <v>422</v>
      </c>
      <c r="E87" s="341"/>
      <c r="F87" s="341"/>
      <c r="G87" s="341"/>
      <c r="H87" s="32">
        <f>H88+H89</f>
        <v>1000</v>
      </c>
      <c r="I87" s="33">
        <f>I88+I89</f>
        <v>1000</v>
      </c>
      <c r="J87" s="33"/>
      <c r="K87" s="33"/>
      <c r="L87" s="330" t="s">
        <v>390</v>
      </c>
    </row>
    <row r="88" spans="1:13" ht="102.75" customHeight="1" x14ac:dyDescent="0.3">
      <c r="A88" s="304"/>
      <c r="B88" s="471"/>
      <c r="C88" s="331"/>
      <c r="D88" s="35" t="s">
        <v>26</v>
      </c>
      <c r="E88" s="220" t="s">
        <v>58</v>
      </c>
      <c r="F88" s="333"/>
      <c r="G88" s="333" t="s">
        <v>150</v>
      </c>
      <c r="H88" s="32">
        <f>I88</f>
        <v>800</v>
      </c>
      <c r="I88" s="33">
        <v>800</v>
      </c>
      <c r="J88" s="33"/>
      <c r="K88" s="33"/>
      <c r="L88" s="331"/>
    </row>
    <row r="89" spans="1:13" ht="102.75" customHeight="1" x14ac:dyDescent="0.3">
      <c r="A89" s="304"/>
      <c r="B89" s="471"/>
      <c r="C89" s="332"/>
      <c r="D89" s="35" t="s">
        <v>26</v>
      </c>
      <c r="E89" s="220" t="s">
        <v>137</v>
      </c>
      <c r="F89" s="334"/>
      <c r="G89" s="334"/>
      <c r="H89" s="32">
        <f>I89</f>
        <v>200</v>
      </c>
      <c r="I89" s="33">
        <v>200</v>
      </c>
      <c r="J89" s="33"/>
      <c r="K89" s="33"/>
      <c r="L89" s="332"/>
    </row>
    <row r="90" spans="1:13" ht="55.5" customHeight="1" x14ac:dyDescent="0.3">
      <c r="A90" s="304"/>
      <c r="B90" s="471"/>
      <c r="C90" s="472" t="s">
        <v>424</v>
      </c>
      <c r="D90" s="341" t="s">
        <v>423</v>
      </c>
      <c r="E90" s="341"/>
      <c r="F90" s="341"/>
      <c r="G90" s="341"/>
      <c r="H90" s="32">
        <f>H91+H92</f>
        <v>1000</v>
      </c>
      <c r="I90" s="32"/>
      <c r="J90" s="32">
        <f>J91+J92</f>
        <v>1000</v>
      </c>
      <c r="K90" s="32">
        <f>K91+K92</f>
        <v>0</v>
      </c>
      <c r="L90" s="330" t="s">
        <v>367</v>
      </c>
    </row>
    <row r="91" spans="1:13" ht="81" customHeight="1" x14ac:dyDescent="0.3">
      <c r="A91" s="304"/>
      <c r="B91" s="471"/>
      <c r="C91" s="473"/>
      <c r="D91" s="35" t="s">
        <v>26</v>
      </c>
      <c r="E91" s="220" t="s">
        <v>58</v>
      </c>
      <c r="F91" s="333" t="s">
        <v>131</v>
      </c>
      <c r="G91" s="333" t="s">
        <v>150</v>
      </c>
      <c r="H91" s="32">
        <f>I91+J91+K91</f>
        <v>800</v>
      </c>
      <c r="I91" s="33"/>
      <c r="J91" s="33">
        <v>800</v>
      </c>
      <c r="K91" s="33">
        <v>0</v>
      </c>
      <c r="L91" s="331"/>
    </row>
    <row r="92" spans="1:13" ht="220.5" customHeight="1" x14ac:dyDescent="0.3">
      <c r="A92" s="304"/>
      <c r="B92" s="471"/>
      <c r="C92" s="474"/>
      <c r="D92" s="35" t="s">
        <v>26</v>
      </c>
      <c r="E92" s="220" t="s">
        <v>137</v>
      </c>
      <c r="F92" s="334"/>
      <c r="G92" s="334"/>
      <c r="H92" s="32">
        <f>I92+J92+K92</f>
        <v>200</v>
      </c>
      <c r="I92" s="33"/>
      <c r="J92" s="33">
        <v>200</v>
      </c>
      <c r="K92" s="33">
        <v>0</v>
      </c>
      <c r="L92" s="332"/>
    </row>
    <row r="93" spans="1:13" ht="209.25" customHeight="1" x14ac:dyDescent="0.3">
      <c r="A93" s="304"/>
      <c r="B93" s="471"/>
      <c r="C93" s="230" t="s">
        <v>425</v>
      </c>
      <c r="D93" s="35" t="s">
        <v>26</v>
      </c>
      <c r="E93" s="220" t="s">
        <v>51</v>
      </c>
      <c r="F93" s="240" t="s">
        <v>131</v>
      </c>
      <c r="G93" s="240" t="s">
        <v>150</v>
      </c>
      <c r="H93" s="26">
        <f>I93+J93+K93</f>
        <v>8745.5</v>
      </c>
      <c r="I93" s="33">
        <v>0</v>
      </c>
      <c r="J93" s="33">
        <f>8119.9+527.2+98.4</f>
        <v>8745.5</v>
      </c>
      <c r="K93" s="33">
        <v>0</v>
      </c>
      <c r="L93" s="235" t="s">
        <v>332</v>
      </c>
    </row>
    <row r="94" spans="1:13" ht="42" customHeight="1" x14ac:dyDescent="0.4">
      <c r="A94" s="304"/>
      <c r="B94" s="304"/>
      <c r="C94" s="304"/>
      <c r="D94" s="304"/>
      <c r="E94" s="318" t="s">
        <v>108</v>
      </c>
      <c r="F94" s="319"/>
      <c r="G94" s="22"/>
      <c r="H94" s="32">
        <f t="shared" ref="H94:I94" si="3">SUM(H95:H97)</f>
        <v>183302.1</v>
      </c>
      <c r="I94" s="32">
        <f t="shared" si="3"/>
        <v>55910.299999999996</v>
      </c>
      <c r="J94" s="32">
        <f>SUM(J95:J97)</f>
        <v>73661.400000000009</v>
      </c>
      <c r="K94" s="32">
        <f>SUM(K95:K97)</f>
        <v>53730.400000000009</v>
      </c>
      <c r="L94" s="482"/>
      <c r="M94" s="200"/>
    </row>
    <row r="95" spans="1:13" ht="52.5" customHeight="1" x14ac:dyDescent="0.3">
      <c r="A95" s="304"/>
      <c r="B95" s="304"/>
      <c r="C95" s="304"/>
      <c r="D95" s="304"/>
      <c r="E95" s="320"/>
      <c r="F95" s="321"/>
      <c r="G95" s="240" t="s">
        <v>150</v>
      </c>
      <c r="H95" s="26">
        <f t="shared" ref="H95:I95" si="4">H44+H45+H46+H47+H48+H49+H50+H51+H52+H54+H55+H56+H57+H58+H61+H62+H63+H64+H65+H67+H68+H69+H70+H71+H73+H74+H75+H76+H77+H80+H81+H84+H85+H88+H89+H91+H92+H93+H78</f>
        <v>182772.5</v>
      </c>
      <c r="I95" s="26">
        <f t="shared" si="4"/>
        <v>55415.299999999996</v>
      </c>
      <c r="J95" s="26">
        <f>J44+J45+J46+J47+J48+J49+J50+J51+J52+J54+J55+J56+J57+J58+J61+J62+J63+J64+J65+J67+J68+J69+J70+J71+J73+J74+J75+J76+J77+J80+J81+J84+J85+J88+J89+J91+J92+J93+J78</f>
        <v>73626.8</v>
      </c>
      <c r="K95" s="26">
        <f>K44+K45+K46+K47+K48+K49+K50+K51+K52+K54+K55+K56+K57+K58+K61+K62+K63+K64+K65+K67+K68+K69+K70+K71+K73+K74+K75+K76+K77+K80+K81+K84+K85+K88+K89+K91+K92+K93+K78</f>
        <v>53730.400000000009</v>
      </c>
      <c r="L95" s="482"/>
    </row>
    <row r="96" spans="1:13" ht="52.5" customHeight="1" x14ac:dyDescent="0.3">
      <c r="A96" s="304"/>
      <c r="B96" s="304"/>
      <c r="C96" s="304"/>
      <c r="D96" s="304"/>
      <c r="E96" s="320"/>
      <c r="F96" s="321"/>
      <c r="G96" s="240" t="s">
        <v>349</v>
      </c>
      <c r="H96" s="32">
        <f>H82</f>
        <v>495</v>
      </c>
      <c r="I96" s="32">
        <f>I82</f>
        <v>495</v>
      </c>
      <c r="J96" s="32">
        <f>J82</f>
        <v>0</v>
      </c>
      <c r="K96" s="32">
        <f>K82</f>
        <v>0</v>
      </c>
      <c r="L96" s="482"/>
    </row>
    <row r="97" spans="1:16" ht="52.5" customHeight="1" x14ac:dyDescent="0.3">
      <c r="A97" s="304"/>
      <c r="B97" s="304"/>
      <c r="C97" s="304"/>
      <c r="D97" s="304"/>
      <c r="E97" s="322"/>
      <c r="F97" s="323"/>
      <c r="G97" s="240" t="s">
        <v>545</v>
      </c>
      <c r="H97" s="32">
        <f t="shared" ref="H97:I97" si="5">H86</f>
        <v>34.6</v>
      </c>
      <c r="I97" s="32">
        <f t="shared" si="5"/>
        <v>0</v>
      </c>
      <c r="J97" s="32">
        <f>J86</f>
        <v>34.6</v>
      </c>
      <c r="K97" s="32">
        <f>K86</f>
        <v>0</v>
      </c>
      <c r="L97" s="482"/>
    </row>
    <row r="98" spans="1:16" ht="42" customHeight="1" x14ac:dyDescent="0.4">
      <c r="A98" s="304"/>
      <c r="B98" s="304"/>
      <c r="C98" s="304"/>
      <c r="D98" s="304"/>
      <c r="E98" s="345" t="s">
        <v>109</v>
      </c>
      <c r="F98" s="346"/>
      <c r="G98" s="240"/>
      <c r="H98" s="26"/>
      <c r="I98" s="33"/>
      <c r="J98" s="28"/>
      <c r="K98" s="28"/>
      <c r="L98" s="482"/>
      <c r="M98" s="200"/>
      <c r="N98" s="200"/>
      <c r="O98" s="200"/>
      <c r="P98" s="200"/>
    </row>
    <row r="99" spans="1:16" ht="57.75" customHeight="1" x14ac:dyDescent="0.3">
      <c r="A99" s="304"/>
      <c r="B99" s="304"/>
      <c r="C99" s="304"/>
      <c r="D99" s="304"/>
      <c r="E99" s="324" t="s">
        <v>58</v>
      </c>
      <c r="F99" s="325"/>
      <c r="G99" s="256" t="s">
        <v>68</v>
      </c>
      <c r="H99" s="26">
        <f>I99+J99+K99</f>
        <v>33585.5</v>
      </c>
      <c r="I99" s="26">
        <f>I100</f>
        <v>9703.7000000000007</v>
      </c>
      <c r="J99" s="26">
        <f>J100</f>
        <v>14335.900000000001</v>
      </c>
      <c r="K99" s="26">
        <f>K100</f>
        <v>9545.9</v>
      </c>
      <c r="L99" s="482"/>
    </row>
    <row r="100" spans="1:16" ht="52.5" customHeight="1" x14ac:dyDescent="0.3">
      <c r="A100" s="304"/>
      <c r="B100" s="304"/>
      <c r="C100" s="304"/>
      <c r="D100" s="304"/>
      <c r="E100" s="326"/>
      <c r="F100" s="327"/>
      <c r="G100" s="240" t="s">
        <v>150</v>
      </c>
      <c r="H100" s="26">
        <f>H38+H44+H49+H62+H69+H91+H63+H88+H55+H67</f>
        <v>33585.5</v>
      </c>
      <c r="I100" s="26">
        <f>I44+I49+I55++I56+I67+I88</f>
        <v>9703.7000000000007</v>
      </c>
      <c r="J100" s="26">
        <f>J38+J44+J49+J62+J69+J91+J63</f>
        <v>14335.900000000001</v>
      </c>
      <c r="K100" s="26">
        <f>K38+K44+K49+K62+K69+K91+K63</f>
        <v>9545.9</v>
      </c>
      <c r="L100" s="482"/>
    </row>
    <row r="101" spans="1:16" ht="51.75" customHeight="1" x14ac:dyDescent="0.3">
      <c r="A101" s="304"/>
      <c r="B101" s="304"/>
      <c r="C101" s="304"/>
      <c r="D101" s="304"/>
      <c r="E101" s="324" t="s">
        <v>52</v>
      </c>
      <c r="F101" s="325"/>
      <c r="G101" s="256" t="s">
        <v>68</v>
      </c>
      <c r="H101" s="26">
        <f>I101+J101+K101</f>
        <v>40476</v>
      </c>
      <c r="I101" s="26">
        <f>I102</f>
        <v>15862.1</v>
      </c>
      <c r="J101" s="26">
        <f>J102</f>
        <v>13511.699999999999</v>
      </c>
      <c r="K101" s="26">
        <f>K102</f>
        <v>11102.199999999999</v>
      </c>
      <c r="L101" s="482"/>
    </row>
    <row r="102" spans="1:16" ht="60.75" customHeight="1" x14ac:dyDescent="0.3">
      <c r="A102" s="304"/>
      <c r="B102" s="304"/>
      <c r="C102" s="304"/>
      <c r="D102" s="304"/>
      <c r="E102" s="326"/>
      <c r="F102" s="327"/>
      <c r="G102" s="240" t="s">
        <v>150</v>
      </c>
      <c r="H102" s="26">
        <f>H45+H51+H61+H54</f>
        <v>40476</v>
      </c>
      <c r="I102" s="26">
        <f>I45+I51+I61+I54</f>
        <v>15862.1</v>
      </c>
      <c r="J102" s="26">
        <f>J45+J51+J61+J54</f>
        <v>13511.699999999999</v>
      </c>
      <c r="K102" s="26">
        <f>K45+K51+K61+K54</f>
        <v>11102.199999999999</v>
      </c>
      <c r="L102" s="482"/>
    </row>
    <row r="103" spans="1:16" ht="55.5" customHeight="1" x14ac:dyDescent="0.3">
      <c r="A103" s="304"/>
      <c r="B103" s="304"/>
      <c r="C103" s="304"/>
      <c r="D103" s="304"/>
      <c r="E103" s="324" t="s">
        <v>53</v>
      </c>
      <c r="F103" s="325"/>
      <c r="G103" s="256" t="s">
        <v>68</v>
      </c>
      <c r="H103" s="26">
        <f>I103+J103+K103</f>
        <v>40193.9</v>
      </c>
      <c r="I103" s="26">
        <f>I104</f>
        <v>12355</v>
      </c>
      <c r="J103" s="26">
        <f>J104</f>
        <v>13328.7</v>
      </c>
      <c r="K103" s="26">
        <f>K104</f>
        <v>14510.2</v>
      </c>
      <c r="L103" s="482"/>
    </row>
    <row r="104" spans="1:16" ht="57.75" customHeight="1" x14ac:dyDescent="0.3">
      <c r="A104" s="304"/>
      <c r="B104" s="304"/>
      <c r="C104" s="304"/>
      <c r="D104" s="304"/>
      <c r="E104" s="326"/>
      <c r="F104" s="327"/>
      <c r="G104" s="240" t="s">
        <v>150</v>
      </c>
      <c r="H104" s="26">
        <f>H46+H50+H71</f>
        <v>40193.899999999994</v>
      </c>
      <c r="I104" s="26">
        <f>I46+I50+I71</f>
        <v>12355</v>
      </c>
      <c r="J104" s="26">
        <f>J46+J50+J71</f>
        <v>13328.7</v>
      </c>
      <c r="K104" s="26">
        <f>K46+K50+K71</f>
        <v>14510.2</v>
      </c>
      <c r="L104" s="482"/>
    </row>
    <row r="105" spans="1:16" ht="53.25" customHeight="1" x14ac:dyDescent="0.3">
      <c r="A105" s="304"/>
      <c r="B105" s="304"/>
      <c r="C105" s="304"/>
      <c r="D105" s="304"/>
      <c r="E105" s="324" t="s">
        <v>51</v>
      </c>
      <c r="F105" s="325"/>
      <c r="G105" s="256" t="s">
        <v>68</v>
      </c>
      <c r="H105" s="26">
        <f>I105+J105+K105</f>
        <v>51562.099999999991</v>
      </c>
      <c r="I105" s="26">
        <f>I106</f>
        <v>12581.599999999999</v>
      </c>
      <c r="J105" s="26">
        <f>J106</f>
        <v>25481.8</v>
      </c>
      <c r="K105" s="26">
        <f>K106</f>
        <v>13498.699999999999</v>
      </c>
      <c r="L105" s="482"/>
    </row>
    <row r="106" spans="1:16" ht="75" customHeight="1" x14ac:dyDescent="0.3">
      <c r="A106" s="304"/>
      <c r="B106" s="304"/>
      <c r="C106" s="304"/>
      <c r="D106" s="304"/>
      <c r="E106" s="328"/>
      <c r="F106" s="329"/>
      <c r="G106" s="240" t="s">
        <v>150</v>
      </c>
      <c r="H106" s="26">
        <f>H47+H52+H73+H74+H75+H76+H77+H78+H80+H93+H84</f>
        <v>51562.099999999991</v>
      </c>
      <c r="I106" s="26">
        <f>I47+I52+I73+I74+I75+I76+I77+I78+I80+I93+I84</f>
        <v>12581.599999999999</v>
      </c>
      <c r="J106" s="26">
        <f>J47+J52+J73+J74+J75+J76+J77+J78+J80+J93+J84</f>
        <v>25481.8</v>
      </c>
      <c r="K106" s="26">
        <f>K47+K52+K73+K74+K75+K76+K77+K78+K80+K93+K84</f>
        <v>13498.699999999999</v>
      </c>
      <c r="L106" s="482"/>
    </row>
    <row r="107" spans="1:16" ht="52.5" customHeight="1" x14ac:dyDescent="0.3">
      <c r="A107" s="304"/>
      <c r="B107" s="304"/>
      <c r="C107" s="304"/>
      <c r="D107" s="304"/>
      <c r="E107" s="324" t="s">
        <v>137</v>
      </c>
      <c r="F107" s="325"/>
      <c r="G107" s="256" t="s">
        <v>68</v>
      </c>
      <c r="H107" s="26">
        <f t="shared" ref="H107:I107" si="6">SUM(H108:H110)</f>
        <v>17484.599999999999</v>
      </c>
      <c r="I107" s="26">
        <f t="shared" si="6"/>
        <v>5407.9</v>
      </c>
      <c r="J107" s="26">
        <f>SUM(J108:J110)</f>
        <v>7003.3</v>
      </c>
      <c r="K107" s="26">
        <f>SUM(K108:K110)</f>
        <v>5073.3999999999996</v>
      </c>
      <c r="L107" s="482"/>
    </row>
    <row r="108" spans="1:16" ht="59.25" customHeight="1" x14ac:dyDescent="0.3">
      <c r="A108" s="304"/>
      <c r="B108" s="304"/>
      <c r="C108" s="304"/>
      <c r="D108" s="304"/>
      <c r="E108" s="326"/>
      <c r="F108" s="327"/>
      <c r="G108" s="240" t="s">
        <v>150</v>
      </c>
      <c r="H108" s="26">
        <f t="shared" ref="H108:I108" si="7">H48+H57+H64+H68+H70+H81+H85+H89+H92</f>
        <v>16955</v>
      </c>
      <c r="I108" s="26">
        <f t="shared" si="7"/>
        <v>4912.8999999999996</v>
      </c>
      <c r="J108" s="26">
        <f>J48+J57+J64+J68+J70+J81+J85+J89+J92</f>
        <v>6968.7</v>
      </c>
      <c r="K108" s="26">
        <f>K48+K57+K64+K68+K70+K81+K85+K89+K92</f>
        <v>5073.3999999999996</v>
      </c>
      <c r="L108" s="482"/>
    </row>
    <row r="109" spans="1:16" ht="59.25" customHeight="1" x14ac:dyDescent="0.3">
      <c r="A109" s="304"/>
      <c r="B109" s="304"/>
      <c r="C109" s="304"/>
      <c r="D109" s="304"/>
      <c r="E109" s="326"/>
      <c r="F109" s="327"/>
      <c r="G109" s="240" t="s">
        <v>349</v>
      </c>
      <c r="H109" s="26">
        <f>H82</f>
        <v>495</v>
      </c>
      <c r="I109" s="26">
        <f>I82</f>
        <v>495</v>
      </c>
      <c r="J109" s="26">
        <f>J82</f>
        <v>0</v>
      </c>
      <c r="K109" s="26">
        <f>K82</f>
        <v>0</v>
      </c>
      <c r="L109" s="482"/>
    </row>
    <row r="110" spans="1:16" ht="59.25" customHeight="1" x14ac:dyDescent="0.3">
      <c r="A110" s="304"/>
      <c r="B110" s="304"/>
      <c r="C110" s="304"/>
      <c r="D110" s="304"/>
      <c r="E110" s="328"/>
      <c r="F110" s="329"/>
      <c r="G110" s="240" t="s">
        <v>545</v>
      </c>
      <c r="H110" s="26">
        <f t="shared" ref="H110:I110" si="8">H86</f>
        <v>34.6</v>
      </c>
      <c r="I110" s="26">
        <f t="shared" si="8"/>
        <v>0</v>
      </c>
      <c r="J110" s="26">
        <f>J86</f>
        <v>34.6</v>
      </c>
      <c r="K110" s="26">
        <f>K86</f>
        <v>0</v>
      </c>
      <c r="L110" s="482"/>
    </row>
    <row r="111" spans="1:16" ht="59.25" customHeight="1" x14ac:dyDescent="0.3">
      <c r="A111" s="304"/>
      <c r="B111" s="304"/>
      <c r="C111" s="304"/>
      <c r="D111" s="304"/>
      <c r="E111" s="324" t="s">
        <v>133</v>
      </c>
      <c r="F111" s="325"/>
      <c r="G111" s="256" t="s">
        <v>68</v>
      </c>
      <c r="H111" s="26">
        <f>I111+J111+K111</f>
        <v>0</v>
      </c>
      <c r="I111" s="26">
        <f>I112</f>
        <v>0</v>
      </c>
      <c r="J111" s="26">
        <f>J112</f>
        <v>0</v>
      </c>
      <c r="K111" s="26">
        <f>K112</f>
        <v>0</v>
      </c>
      <c r="L111" s="482"/>
    </row>
    <row r="112" spans="1:16" ht="59.25" customHeight="1" x14ac:dyDescent="0.3">
      <c r="A112" s="304"/>
      <c r="B112" s="304"/>
      <c r="C112" s="304"/>
      <c r="D112" s="304"/>
      <c r="E112" s="328"/>
      <c r="F112" s="329"/>
      <c r="G112" s="240" t="s">
        <v>150</v>
      </c>
      <c r="H112" s="26">
        <f>H58+H65</f>
        <v>0</v>
      </c>
      <c r="I112" s="26">
        <f>I58+I65</f>
        <v>0</v>
      </c>
      <c r="J112" s="26">
        <f>J58+J65</f>
        <v>0</v>
      </c>
      <c r="K112" s="26">
        <f>K58+K65</f>
        <v>0</v>
      </c>
      <c r="L112" s="482"/>
    </row>
    <row r="113" spans="1:13" ht="153.75" customHeight="1" x14ac:dyDescent="0.3">
      <c r="A113" s="305" t="s">
        <v>93</v>
      </c>
      <c r="B113" s="283" t="s">
        <v>406</v>
      </c>
      <c r="C113" s="220" t="s">
        <v>252</v>
      </c>
      <c r="D113" s="55" t="s">
        <v>27</v>
      </c>
      <c r="E113" s="231" t="s">
        <v>55</v>
      </c>
      <c r="F113" s="335" t="s">
        <v>131</v>
      </c>
      <c r="G113" s="240" t="s">
        <v>148</v>
      </c>
      <c r="H113" s="26">
        <f>I113</f>
        <v>5058.3</v>
      </c>
      <c r="I113" s="26">
        <v>5058.3</v>
      </c>
      <c r="J113" s="26"/>
      <c r="K113" s="26"/>
      <c r="L113" s="171" t="s">
        <v>208</v>
      </c>
    </row>
    <row r="114" spans="1:13" ht="193.5" customHeight="1" x14ac:dyDescent="0.3">
      <c r="A114" s="306"/>
      <c r="B114" s="284"/>
      <c r="C114" s="299" t="s">
        <v>451</v>
      </c>
      <c r="D114" s="55" t="s">
        <v>27</v>
      </c>
      <c r="E114" s="231" t="s">
        <v>55</v>
      </c>
      <c r="F114" s="336"/>
      <c r="G114" s="333" t="s">
        <v>148</v>
      </c>
      <c r="H114" s="26">
        <f>J114+K114</f>
        <v>11184.8</v>
      </c>
      <c r="I114" s="26"/>
      <c r="J114" s="26">
        <v>5512</v>
      </c>
      <c r="K114" s="26">
        <v>5672.8</v>
      </c>
      <c r="L114" s="159" t="s">
        <v>453</v>
      </c>
    </row>
    <row r="115" spans="1:13" s="49" customFormat="1" ht="82.5" hidden="1" customHeight="1" x14ac:dyDescent="0.2">
      <c r="A115" s="54" t="s">
        <v>93</v>
      </c>
      <c r="B115" s="284"/>
      <c r="C115" s="300"/>
      <c r="D115" s="55"/>
      <c r="E115" s="231"/>
      <c r="F115" s="359" t="s">
        <v>131</v>
      </c>
      <c r="G115" s="334"/>
      <c r="H115" s="26">
        <f>I115+J115+K115</f>
        <v>0</v>
      </c>
      <c r="I115" s="28"/>
      <c r="J115" s="28"/>
      <c r="K115" s="28"/>
      <c r="L115" s="194"/>
    </row>
    <row r="116" spans="1:13" s="49" customFormat="1" ht="175.5" customHeight="1" x14ac:dyDescent="0.2">
      <c r="A116" s="170"/>
      <c r="B116" s="284"/>
      <c r="C116" s="220" t="s">
        <v>452</v>
      </c>
      <c r="D116" s="55" t="s">
        <v>27</v>
      </c>
      <c r="E116" s="231" t="s">
        <v>55</v>
      </c>
      <c r="F116" s="359"/>
      <c r="G116" s="240" t="s">
        <v>148</v>
      </c>
      <c r="H116" s="26">
        <f>I116</f>
        <v>67.3</v>
      </c>
      <c r="I116" s="28">
        <v>67.3</v>
      </c>
      <c r="J116" s="28"/>
      <c r="K116" s="28"/>
      <c r="L116" s="246" t="s">
        <v>362</v>
      </c>
    </row>
    <row r="117" spans="1:13" s="49" customFormat="1" ht="69" hidden="1" customHeight="1" x14ac:dyDescent="0.2">
      <c r="A117" s="169"/>
      <c r="B117" s="285"/>
      <c r="C117" s="228"/>
      <c r="D117" s="55"/>
      <c r="E117" s="231"/>
      <c r="F117" s="360"/>
      <c r="G117" s="223"/>
      <c r="H117" s="26">
        <f>I117+J117+K117</f>
        <v>0</v>
      </c>
      <c r="I117" s="28"/>
      <c r="J117" s="28">
        <v>0</v>
      </c>
      <c r="K117" s="28">
        <v>0</v>
      </c>
      <c r="L117" s="246"/>
    </row>
    <row r="118" spans="1:13" s="49" customFormat="1" ht="54" customHeight="1" x14ac:dyDescent="0.2">
      <c r="A118" s="304"/>
      <c r="B118" s="304"/>
      <c r="C118" s="304"/>
      <c r="D118" s="304"/>
      <c r="E118" s="348" t="s">
        <v>262</v>
      </c>
      <c r="F118" s="350"/>
      <c r="G118" s="240"/>
      <c r="H118" s="26">
        <f>I118+J118+K118</f>
        <v>16310.400000000001</v>
      </c>
      <c r="I118" s="26">
        <f>I113+I114+I116</f>
        <v>5125.6000000000004</v>
      </c>
      <c r="J118" s="26">
        <f>J113+J114+J116</f>
        <v>5512</v>
      </c>
      <c r="K118" s="26">
        <f>K113+K114+K116</f>
        <v>5672.8</v>
      </c>
      <c r="L118" s="335"/>
    </row>
    <row r="119" spans="1:13" s="49" customFormat="1" ht="51" customHeight="1" x14ac:dyDescent="0.2">
      <c r="A119" s="304"/>
      <c r="B119" s="305"/>
      <c r="C119" s="305"/>
      <c r="D119" s="305"/>
      <c r="E119" s="349"/>
      <c r="F119" s="350"/>
      <c r="G119" s="240" t="s">
        <v>148</v>
      </c>
      <c r="H119" s="26">
        <f>H113+H114+H116</f>
        <v>16310.399999999998</v>
      </c>
      <c r="I119" s="26">
        <f>I113+I114+I116</f>
        <v>5125.6000000000004</v>
      </c>
      <c r="J119" s="26">
        <f>J113+J114+J116</f>
        <v>5512</v>
      </c>
      <c r="K119" s="26">
        <f>K113+K114+K116</f>
        <v>5672.8</v>
      </c>
      <c r="L119" s="336"/>
    </row>
    <row r="120" spans="1:13" s="49" customFormat="1" ht="186" customHeight="1" x14ac:dyDescent="0.2">
      <c r="A120" s="305" t="s">
        <v>94</v>
      </c>
      <c r="B120" s="283" t="s">
        <v>107</v>
      </c>
      <c r="C120" s="220" t="s">
        <v>391</v>
      </c>
      <c r="D120" s="30" t="s">
        <v>28</v>
      </c>
      <c r="E120" s="226" t="s">
        <v>54</v>
      </c>
      <c r="F120" s="307" t="s">
        <v>131</v>
      </c>
      <c r="G120" s="240" t="s">
        <v>148</v>
      </c>
      <c r="H120" s="26">
        <f>I120</f>
        <v>11493.1</v>
      </c>
      <c r="I120" s="26">
        <v>11493.1</v>
      </c>
      <c r="J120" s="26"/>
      <c r="K120" s="26"/>
      <c r="L120" s="228" t="s">
        <v>208</v>
      </c>
    </row>
    <row r="121" spans="1:13" s="49" customFormat="1" ht="186" customHeight="1" x14ac:dyDescent="0.2">
      <c r="A121" s="306"/>
      <c r="B121" s="284"/>
      <c r="C121" s="231" t="s">
        <v>455</v>
      </c>
      <c r="D121" s="55" t="s">
        <v>28</v>
      </c>
      <c r="E121" s="231" t="s">
        <v>54</v>
      </c>
      <c r="F121" s="308"/>
      <c r="G121" s="240" t="s">
        <v>148</v>
      </c>
      <c r="H121" s="26">
        <f>J121+K121</f>
        <v>20140.2</v>
      </c>
      <c r="I121" s="26"/>
      <c r="J121" s="26">
        <v>11836.1</v>
      </c>
      <c r="K121" s="26">
        <v>8304.1</v>
      </c>
      <c r="L121" s="246" t="s">
        <v>427</v>
      </c>
    </row>
    <row r="122" spans="1:13" s="49" customFormat="1" ht="177" customHeight="1" x14ac:dyDescent="0.2">
      <c r="A122" s="306"/>
      <c r="B122" s="284"/>
      <c r="C122" s="220" t="s">
        <v>456</v>
      </c>
      <c r="D122" s="30" t="s">
        <v>28</v>
      </c>
      <c r="E122" s="226" t="s">
        <v>54</v>
      </c>
      <c r="F122" s="344" t="s">
        <v>131</v>
      </c>
      <c r="G122" s="240" t="s">
        <v>148</v>
      </c>
      <c r="H122" s="26">
        <f>I122</f>
        <v>895.6</v>
      </c>
      <c r="I122" s="28">
        <v>895.6</v>
      </c>
      <c r="J122" s="28"/>
      <c r="K122" s="28"/>
      <c r="L122" s="228" t="s">
        <v>208</v>
      </c>
    </row>
    <row r="123" spans="1:13" s="49" customFormat="1" ht="194.25" x14ac:dyDescent="0.2">
      <c r="A123" s="309"/>
      <c r="B123" s="285"/>
      <c r="C123" s="220" t="s">
        <v>426</v>
      </c>
      <c r="D123" s="55" t="s">
        <v>28</v>
      </c>
      <c r="E123" s="231" t="s">
        <v>54</v>
      </c>
      <c r="F123" s="344"/>
      <c r="G123" s="240" t="s">
        <v>148</v>
      </c>
      <c r="H123" s="26">
        <f>J123+K123</f>
        <v>2015.1</v>
      </c>
      <c r="I123" s="28"/>
      <c r="J123" s="28">
        <v>1010.7</v>
      </c>
      <c r="K123" s="28">
        <v>1004.4</v>
      </c>
      <c r="L123" s="246" t="s">
        <v>453</v>
      </c>
    </row>
    <row r="124" spans="1:13" s="49" customFormat="1" ht="75" customHeight="1" x14ac:dyDescent="0.2">
      <c r="A124" s="478"/>
      <c r="B124" s="478"/>
      <c r="C124" s="478"/>
      <c r="D124" s="478"/>
      <c r="E124" s="348" t="s">
        <v>263</v>
      </c>
      <c r="F124" s="344"/>
      <c r="G124" s="240"/>
      <c r="H124" s="26">
        <f>I124+J124+K124</f>
        <v>34544</v>
      </c>
      <c r="I124" s="26">
        <f>I120+I121+I122+I123</f>
        <v>12388.7</v>
      </c>
      <c r="J124" s="26">
        <f>J120+J121+J122+J123</f>
        <v>12846.800000000001</v>
      </c>
      <c r="K124" s="26">
        <f>K120+K121+K122+K123</f>
        <v>9308.5</v>
      </c>
      <c r="L124" s="307"/>
    </row>
    <row r="125" spans="1:13" s="49" customFormat="1" ht="75" customHeight="1" x14ac:dyDescent="0.2">
      <c r="A125" s="478"/>
      <c r="B125" s="478"/>
      <c r="C125" s="478"/>
      <c r="D125" s="478"/>
      <c r="E125" s="349"/>
      <c r="F125" s="344"/>
      <c r="G125" s="240" t="s">
        <v>148</v>
      </c>
      <c r="H125" s="26">
        <f>H120+H122+H123+H121</f>
        <v>34544</v>
      </c>
      <c r="I125" s="26">
        <f>I120+I122+I123</f>
        <v>12388.7</v>
      </c>
      <c r="J125" s="26">
        <f>J120+J122+J123+J121</f>
        <v>12846.800000000001</v>
      </c>
      <c r="K125" s="26">
        <f>K120+K122+K123+K121</f>
        <v>9308.5</v>
      </c>
      <c r="L125" s="382"/>
    </row>
    <row r="126" spans="1:13" ht="75" customHeight="1" x14ac:dyDescent="0.4">
      <c r="A126" s="301" t="s">
        <v>46</v>
      </c>
      <c r="B126" s="302"/>
      <c r="C126" s="302"/>
      <c r="D126" s="302"/>
      <c r="E126" s="302"/>
      <c r="F126" s="302"/>
      <c r="G126" s="303"/>
      <c r="H126" s="27">
        <f>SUM(H127:H129)</f>
        <v>255697.6</v>
      </c>
      <c r="I126" s="27">
        <f>SUM(I127:I129)</f>
        <v>80227.899999999994</v>
      </c>
      <c r="J126" s="27">
        <f>SUM(J127:J129)</f>
        <v>98369.700000000012</v>
      </c>
      <c r="K126" s="27">
        <f>SUM(K127:K129)</f>
        <v>77100.000000000015</v>
      </c>
      <c r="L126" s="479"/>
      <c r="M126" s="200"/>
    </row>
    <row r="127" spans="1:13" s="49" customFormat="1" ht="75" customHeight="1" x14ac:dyDescent="0.2">
      <c r="A127" s="311" t="s">
        <v>159</v>
      </c>
      <c r="B127" s="311"/>
      <c r="C127" s="311"/>
      <c r="D127" s="311"/>
      <c r="E127" s="311"/>
      <c r="F127" s="312"/>
      <c r="G127" s="66" t="s">
        <v>148</v>
      </c>
      <c r="H127" s="27">
        <f>H33+H95+H119+H125</f>
        <v>255168</v>
      </c>
      <c r="I127" s="56">
        <f>I33+I95+I119+I125</f>
        <v>79732.899999999994</v>
      </c>
      <c r="J127" s="27">
        <f>J33+J95+J119+J125</f>
        <v>98335.1</v>
      </c>
      <c r="K127" s="27">
        <f>K33+K95+K119+K125</f>
        <v>77100.000000000015</v>
      </c>
      <c r="L127" s="480"/>
    </row>
    <row r="128" spans="1:13" s="49" customFormat="1" ht="75" customHeight="1" x14ac:dyDescent="0.2">
      <c r="A128" s="313"/>
      <c r="B128" s="313"/>
      <c r="C128" s="313"/>
      <c r="D128" s="313"/>
      <c r="E128" s="313"/>
      <c r="F128" s="314"/>
      <c r="G128" s="240" t="s">
        <v>349</v>
      </c>
      <c r="H128" s="56">
        <f>H109</f>
        <v>495</v>
      </c>
      <c r="I128" s="56">
        <f>I109</f>
        <v>495</v>
      </c>
      <c r="J128" s="56">
        <f>J109</f>
        <v>0</v>
      </c>
      <c r="K128" s="56">
        <f>K109</f>
        <v>0</v>
      </c>
      <c r="L128" s="480"/>
    </row>
    <row r="129" spans="1:12" s="49" customFormat="1" ht="75" customHeight="1" x14ac:dyDescent="0.2">
      <c r="A129" s="315"/>
      <c r="B129" s="315"/>
      <c r="C129" s="315"/>
      <c r="D129" s="315"/>
      <c r="E129" s="315"/>
      <c r="F129" s="316"/>
      <c r="G129" s="240" t="s">
        <v>545</v>
      </c>
      <c r="H129" s="56">
        <f t="shared" ref="H129:I129" si="9">H110</f>
        <v>34.6</v>
      </c>
      <c r="I129" s="56">
        <f t="shared" si="9"/>
        <v>0</v>
      </c>
      <c r="J129" s="56">
        <f>J110</f>
        <v>34.6</v>
      </c>
      <c r="K129" s="56">
        <f>K110</f>
        <v>0</v>
      </c>
      <c r="L129" s="480"/>
    </row>
    <row r="130" spans="1:12" s="49" customFormat="1" ht="75" customHeight="1" x14ac:dyDescent="0.2">
      <c r="A130" s="398" t="s">
        <v>158</v>
      </c>
      <c r="B130" s="399"/>
      <c r="C130" s="399"/>
      <c r="D130" s="400"/>
      <c r="E130" s="317" t="s">
        <v>58</v>
      </c>
      <c r="F130" s="373"/>
      <c r="G130" s="256" t="s">
        <v>67</v>
      </c>
      <c r="H130" s="27">
        <f>SUM(H131:H131)</f>
        <v>33585.5</v>
      </c>
      <c r="I130" s="27">
        <f>SUM(I131:I131)</f>
        <v>9703.7000000000007</v>
      </c>
      <c r="J130" s="27">
        <f>SUM(J131:J131)</f>
        <v>14335.900000000001</v>
      </c>
      <c r="K130" s="27">
        <f>SUM(K131:K131)</f>
        <v>9545.9</v>
      </c>
      <c r="L130" s="480"/>
    </row>
    <row r="131" spans="1:12" ht="75" customHeight="1" x14ac:dyDescent="0.3">
      <c r="A131" s="401"/>
      <c r="B131" s="402"/>
      <c r="C131" s="402"/>
      <c r="D131" s="403"/>
      <c r="E131" s="317"/>
      <c r="F131" s="374"/>
      <c r="G131" s="240" t="s">
        <v>148</v>
      </c>
      <c r="H131" s="37">
        <f>H100+H117</f>
        <v>33585.5</v>
      </c>
      <c r="I131" s="37">
        <f>I100+I117</f>
        <v>9703.7000000000007</v>
      </c>
      <c r="J131" s="37">
        <f>J100+J117</f>
        <v>14335.900000000001</v>
      </c>
      <c r="K131" s="37">
        <f>K100+K117</f>
        <v>9545.9</v>
      </c>
      <c r="L131" s="480"/>
    </row>
    <row r="132" spans="1:12" ht="75" customHeight="1" x14ac:dyDescent="0.3">
      <c r="A132" s="401"/>
      <c r="B132" s="402"/>
      <c r="C132" s="402"/>
      <c r="D132" s="403"/>
      <c r="E132" s="299" t="s">
        <v>52</v>
      </c>
      <c r="F132" s="374"/>
      <c r="G132" s="256" t="s">
        <v>67</v>
      </c>
      <c r="H132" s="27">
        <f>SUM(H133:H133)</f>
        <v>40476</v>
      </c>
      <c r="I132" s="27">
        <f>SUM(I133:I133)</f>
        <v>15862.1</v>
      </c>
      <c r="J132" s="27">
        <f>SUM(J133:J133)</f>
        <v>13511.699999999999</v>
      </c>
      <c r="K132" s="27">
        <f>SUM(K133:K133)</f>
        <v>11102.199999999999</v>
      </c>
      <c r="L132" s="480"/>
    </row>
    <row r="133" spans="1:12" ht="75" customHeight="1" x14ac:dyDescent="0.3">
      <c r="A133" s="401"/>
      <c r="B133" s="402"/>
      <c r="C133" s="402"/>
      <c r="D133" s="403"/>
      <c r="E133" s="310"/>
      <c r="F133" s="374"/>
      <c r="G133" s="240" t="s">
        <v>148</v>
      </c>
      <c r="H133" s="37">
        <f>H102</f>
        <v>40476</v>
      </c>
      <c r="I133" s="37">
        <f>I102</f>
        <v>15862.1</v>
      </c>
      <c r="J133" s="37">
        <f>J102</f>
        <v>13511.699999999999</v>
      </c>
      <c r="K133" s="37">
        <f>K102</f>
        <v>11102.199999999999</v>
      </c>
      <c r="L133" s="480"/>
    </row>
    <row r="134" spans="1:12" ht="75" customHeight="1" x14ac:dyDescent="0.3">
      <c r="A134" s="401"/>
      <c r="B134" s="402"/>
      <c r="C134" s="402"/>
      <c r="D134" s="403"/>
      <c r="E134" s="299" t="s">
        <v>53</v>
      </c>
      <c r="F134" s="374"/>
      <c r="G134" s="256" t="s">
        <v>67</v>
      </c>
      <c r="H134" s="27">
        <f>SUM(H135:H135)</f>
        <v>40193.899999999994</v>
      </c>
      <c r="I134" s="27">
        <f>SUM(I135:I135)</f>
        <v>12355</v>
      </c>
      <c r="J134" s="27">
        <f>SUM(J135:J135)</f>
        <v>13328.7</v>
      </c>
      <c r="K134" s="27">
        <f>SUM(K135:K135)</f>
        <v>14510.2</v>
      </c>
      <c r="L134" s="480"/>
    </row>
    <row r="135" spans="1:12" ht="75" customHeight="1" x14ac:dyDescent="0.3">
      <c r="A135" s="401"/>
      <c r="B135" s="402"/>
      <c r="C135" s="402"/>
      <c r="D135" s="403"/>
      <c r="E135" s="310"/>
      <c r="F135" s="374"/>
      <c r="G135" s="240" t="s">
        <v>148</v>
      </c>
      <c r="H135" s="37">
        <f>H104</f>
        <v>40193.899999999994</v>
      </c>
      <c r="I135" s="37">
        <f>I104</f>
        <v>12355</v>
      </c>
      <c r="J135" s="37">
        <f>J104</f>
        <v>13328.7</v>
      </c>
      <c r="K135" s="37">
        <f>K104</f>
        <v>14510.2</v>
      </c>
      <c r="L135" s="480"/>
    </row>
    <row r="136" spans="1:12" ht="75" customHeight="1" x14ac:dyDescent="0.3">
      <c r="A136" s="401"/>
      <c r="B136" s="402"/>
      <c r="C136" s="402"/>
      <c r="D136" s="403"/>
      <c r="E136" s="299" t="s">
        <v>51</v>
      </c>
      <c r="F136" s="374"/>
      <c r="G136" s="256" t="s">
        <v>67</v>
      </c>
      <c r="H136" s="27">
        <f>SUM(H137:H137)</f>
        <v>51562.099999999991</v>
      </c>
      <c r="I136" s="27">
        <f>SUM(I137:I137)</f>
        <v>12581.599999999999</v>
      </c>
      <c r="J136" s="27">
        <f>SUM(J137:J137)</f>
        <v>25481.8</v>
      </c>
      <c r="K136" s="27">
        <f>SUM(K137:K137)</f>
        <v>13498.699999999999</v>
      </c>
      <c r="L136" s="480"/>
    </row>
    <row r="137" spans="1:12" ht="75" customHeight="1" x14ac:dyDescent="0.3">
      <c r="A137" s="401"/>
      <c r="B137" s="402"/>
      <c r="C137" s="402"/>
      <c r="D137" s="403"/>
      <c r="E137" s="310"/>
      <c r="F137" s="374"/>
      <c r="G137" s="240" t="s">
        <v>148</v>
      </c>
      <c r="H137" s="37">
        <f>H106</f>
        <v>51562.099999999991</v>
      </c>
      <c r="I137" s="37">
        <f>I106</f>
        <v>12581.599999999999</v>
      </c>
      <c r="J137" s="37">
        <f>J106</f>
        <v>25481.8</v>
      </c>
      <c r="K137" s="37">
        <f>K106</f>
        <v>13498.699999999999</v>
      </c>
      <c r="L137" s="480"/>
    </row>
    <row r="138" spans="1:12" ht="75" customHeight="1" x14ac:dyDescent="0.3">
      <c r="A138" s="401"/>
      <c r="B138" s="402"/>
      <c r="C138" s="402"/>
      <c r="D138" s="403"/>
      <c r="E138" s="299" t="s">
        <v>55</v>
      </c>
      <c r="F138" s="374"/>
      <c r="G138" s="256" t="s">
        <v>67</v>
      </c>
      <c r="H138" s="27">
        <f>SUM(H139:H139)</f>
        <v>16310.399999999998</v>
      </c>
      <c r="I138" s="27">
        <f>SUM(I139:I139)</f>
        <v>5125.6000000000004</v>
      </c>
      <c r="J138" s="27">
        <f>SUM(J139:J139)</f>
        <v>5512</v>
      </c>
      <c r="K138" s="27">
        <f>SUM(K139:K139)</f>
        <v>5672.8</v>
      </c>
      <c r="L138" s="480"/>
    </row>
    <row r="139" spans="1:12" ht="75" customHeight="1" x14ac:dyDescent="0.3">
      <c r="A139" s="401"/>
      <c r="B139" s="402"/>
      <c r="C139" s="402"/>
      <c r="D139" s="403"/>
      <c r="E139" s="310"/>
      <c r="F139" s="374"/>
      <c r="G139" s="240" t="s">
        <v>148</v>
      </c>
      <c r="H139" s="37">
        <f>H119</f>
        <v>16310.399999999998</v>
      </c>
      <c r="I139" s="37">
        <f>I119</f>
        <v>5125.6000000000004</v>
      </c>
      <c r="J139" s="37">
        <f>J119</f>
        <v>5512</v>
      </c>
      <c r="K139" s="37">
        <f>K119</f>
        <v>5672.8</v>
      </c>
      <c r="L139" s="480"/>
    </row>
    <row r="140" spans="1:12" ht="75" customHeight="1" x14ac:dyDescent="0.3">
      <c r="A140" s="401"/>
      <c r="B140" s="402"/>
      <c r="C140" s="402"/>
      <c r="D140" s="403"/>
      <c r="E140" s="299" t="s">
        <v>54</v>
      </c>
      <c r="F140" s="374"/>
      <c r="G140" s="256" t="s">
        <v>67</v>
      </c>
      <c r="H140" s="27">
        <f>SUM(H141:H141)</f>
        <v>34544</v>
      </c>
      <c r="I140" s="27">
        <f>SUM(I141:I141)</f>
        <v>12388.7</v>
      </c>
      <c r="J140" s="27">
        <f>SUM(J141:J141)</f>
        <v>12846.800000000001</v>
      </c>
      <c r="K140" s="27">
        <f>SUM(K141:K141)</f>
        <v>9308.5</v>
      </c>
      <c r="L140" s="480"/>
    </row>
    <row r="141" spans="1:12" ht="75" customHeight="1" x14ac:dyDescent="0.3">
      <c r="A141" s="401"/>
      <c r="B141" s="402"/>
      <c r="C141" s="402"/>
      <c r="D141" s="403"/>
      <c r="E141" s="310"/>
      <c r="F141" s="374"/>
      <c r="G141" s="240" t="s">
        <v>148</v>
      </c>
      <c r="H141" s="37">
        <f>H125</f>
        <v>34544</v>
      </c>
      <c r="I141" s="37">
        <f>I125</f>
        <v>12388.7</v>
      </c>
      <c r="J141" s="37">
        <f>J125</f>
        <v>12846.800000000001</v>
      </c>
      <c r="K141" s="37">
        <f>K125</f>
        <v>9308.5</v>
      </c>
      <c r="L141" s="480"/>
    </row>
    <row r="142" spans="1:12" ht="75" customHeight="1" x14ac:dyDescent="0.3">
      <c r="A142" s="401"/>
      <c r="B142" s="402"/>
      <c r="C142" s="402"/>
      <c r="D142" s="403"/>
      <c r="E142" s="317" t="s">
        <v>56</v>
      </c>
      <c r="F142" s="374"/>
      <c r="G142" s="256" t="s">
        <v>67</v>
      </c>
      <c r="H142" s="27">
        <f>H143</f>
        <v>10084.9</v>
      </c>
      <c r="I142" s="27">
        <f>I143</f>
        <v>2834.8</v>
      </c>
      <c r="J142" s="27">
        <f>J143</f>
        <v>3456.7</v>
      </c>
      <c r="K142" s="27">
        <f>K143</f>
        <v>3793.3999999999996</v>
      </c>
      <c r="L142" s="480"/>
    </row>
    <row r="143" spans="1:12" ht="75" customHeight="1" x14ac:dyDescent="0.3">
      <c r="A143" s="401"/>
      <c r="B143" s="402"/>
      <c r="C143" s="402"/>
      <c r="D143" s="403"/>
      <c r="E143" s="317"/>
      <c r="F143" s="374"/>
      <c r="G143" s="240" t="s">
        <v>148</v>
      </c>
      <c r="H143" s="37">
        <f>H34</f>
        <v>10084.9</v>
      </c>
      <c r="I143" s="37">
        <f>I34</f>
        <v>2834.8</v>
      </c>
      <c r="J143" s="37">
        <f>J34</f>
        <v>3456.7</v>
      </c>
      <c r="K143" s="37">
        <f>K34</f>
        <v>3793.3999999999996</v>
      </c>
      <c r="L143" s="480"/>
    </row>
    <row r="144" spans="1:12" ht="75" customHeight="1" x14ac:dyDescent="0.3">
      <c r="A144" s="401"/>
      <c r="B144" s="402"/>
      <c r="C144" s="402"/>
      <c r="D144" s="403"/>
      <c r="E144" s="299" t="s">
        <v>57</v>
      </c>
      <c r="F144" s="374"/>
      <c r="G144" s="256" t="s">
        <v>67</v>
      </c>
      <c r="H144" s="27">
        <f>H145</f>
        <v>11456.2</v>
      </c>
      <c r="I144" s="27">
        <f>I145</f>
        <v>3968.5</v>
      </c>
      <c r="J144" s="27">
        <f>J145</f>
        <v>2892.7999999999997</v>
      </c>
      <c r="K144" s="27">
        <f>K145</f>
        <v>4594.9000000000005</v>
      </c>
      <c r="L144" s="480"/>
    </row>
    <row r="145" spans="1:12" ht="63.75" customHeight="1" x14ac:dyDescent="0.3">
      <c r="A145" s="401"/>
      <c r="B145" s="402"/>
      <c r="C145" s="402"/>
      <c r="D145" s="403"/>
      <c r="E145" s="300"/>
      <c r="F145" s="374"/>
      <c r="G145" s="240" t="s">
        <v>148</v>
      </c>
      <c r="H145" s="37">
        <f>H35</f>
        <v>11456.2</v>
      </c>
      <c r="I145" s="37">
        <f>I35</f>
        <v>3968.5</v>
      </c>
      <c r="J145" s="37">
        <f>J35</f>
        <v>2892.7999999999997</v>
      </c>
      <c r="K145" s="37">
        <f>K35</f>
        <v>4594.9000000000005</v>
      </c>
      <c r="L145" s="480"/>
    </row>
    <row r="146" spans="1:12" ht="66" customHeight="1" x14ac:dyDescent="0.3">
      <c r="A146" s="401"/>
      <c r="B146" s="402"/>
      <c r="C146" s="402"/>
      <c r="D146" s="403"/>
      <c r="E146" s="299" t="s">
        <v>137</v>
      </c>
      <c r="F146" s="374"/>
      <c r="G146" s="256" t="s">
        <v>67</v>
      </c>
      <c r="H146" s="27">
        <f t="shared" ref="H146:I146" si="10">SUM(H147:H149)</f>
        <v>17484.599999999999</v>
      </c>
      <c r="I146" s="27">
        <f t="shared" si="10"/>
        <v>5407.9</v>
      </c>
      <c r="J146" s="27">
        <f>SUM(J147:J149)</f>
        <v>7003.3</v>
      </c>
      <c r="K146" s="27">
        <f>SUM(K147:K149)</f>
        <v>5073.3999999999996</v>
      </c>
      <c r="L146" s="480"/>
    </row>
    <row r="147" spans="1:12" ht="47.25" customHeight="1" x14ac:dyDescent="0.3">
      <c r="A147" s="401"/>
      <c r="B147" s="402"/>
      <c r="C147" s="402"/>
      <c r="D147" s="403"/>
      <c r="E147" s="310"/>
      <c r="F147" s="374"/>
      <c r="G147" s="240" t="s">
        <v>148</v>
      </c>
      <c r="H147" s="37">
        <f t="shared" ref="H147:K148" si="11">H108</f>
        <v>16955</v>
      </c>
      <c r="I147" s="37">
        <f t="shared" si="11"/>
        <v>4912.8999999999996</v>
      </c>
      <c r="J147" s="37">
        <f t="shared" si="11"/>
        <v>6968.7</v>
      </c>
      <c r="K147" s="37">
        <f t="shared" si="11"/>
        <v>5073.3999999999996</v>
      </c>
      <c r="L147" s="480"/>
    </row>
    <row r="148" spans="1:12" ht="47.25" customHeight="1" x14ac:dyDescent="0.3">
      <c r="A148" s="401"/>
      <c r="B148" s="402"/>
      <c r="C148" s="402"/>
      <c r="D148" s="403"/>
      <c r="E148" s="310"/>
      <c r="F148" s="374"/>
      <c r="G148" s="240" t="s">
        <v>349</v>
      </c>
      <c r="H148" s="37">
        <f t="shared" si="11"/>
        <v>495</v>
      </c>
      <c r="I148" s="37">
        <f t="shared" si="11"/>
        <v>495</v>
      </c>
      <c r="J148" s="37">
        <f t="shared" si="11"/>
        <v>0</v>
      </c>
      <c r="K148" s="37">
        <f t="shared" si="11"/>
        <v>0</v>
      </c>
      <c r="L148" s="480"/>
    </row>
    <row r="149" spans="1:12" ht="62.25" customHeight="1" x14ac:dyDescent="0.3">
      <c r="A149" s="401"/>
      <c r="B149" s="402"/>
      <c r="C149" s="402"/>
      <c r="D149" s="403"/>
      <c r="E149" s="300"/>
      <c r="F149" s="374"/>
      <c r="G149" s="240" t="s">
        <v>545</v>
      </c>
      <c r="H149" s="37">
        <f t="shared" ref="H149:I149" si="12">H110</f>
        <v>34.6</v>
      </c>
      <c r="I149" s="37">
        <f t="shared" si="12"/>
        <v>0</v>
      </c>
      <c r="J149" s="37">
        <f>J110</f>
        <v>34.6</v>
      </c>
      <c r="K149" s="37">
        <f>K110</f>
        <v>0</v>
      </c>
      <c r="L149" s="480"/>
    </row>
    <row r="150" spans="1:12" ht="47.25" customHeight="1" x14ac:dyDescent="0.3">
      <c r="A150" s="401"/>
      <c r="B150" s="402"/>
      <c r="C150" s="402"/>
      <c r="D150" s="403"/>
      <c r="E150" s="299" t="s">
        <v>133</v>
      </c>
      <c r="F150" s="374"/>
      <c r="G150" s="256" t="s">
        <v>67</v>
      </c>
      <c r="H150" s="27">
        <f>H151</f>
        <v>0</v>
      </c>
      <c r="I150" s="27">
        <f>I151</f>
        <v>0</v>
      </c>
      <c r="J150" s="27">
        <f>J151</f>
        <v>0</v>
      </c>
      <c r="K150" s="27">
        <f>K151</f>
        <v>0</v>
      </c>
      <c r="L150" s="480"/>
    </row>
    <row r="151" spans="1:12" ht="47.25" customHeight="1" x14ac:dyDescent="0.3">
      <c r="A151" s="404"/>
      <c r="B151" s="405"/>
      <c r="C151" s="405"/>
      <c r="D151" s="406"/>
      <c r="E151" s="300"/>
      <c r="F151" s="375"/>
      <c r="G151" s="240" t="s">
        <v>148</v>
      </c>
      <c r="H151" s="37">
        <f>H112</f>
        <v>0</v>
      </c>
      <c r="I151" s="37">
        <f>I112</f>
        <v>0</v>
      </c>
      <c r="J151" s="37">
        <f>J112</f>
        <v>0</v>
      </c>
      <c r="K151" s="37">
        <f>K112</f>
        <v>0</v>
      </c>
      <c r="L151" s="481"/>
    </row>
    <row r="152" spans="1:12" ht="48" customHeight="1" x14ac:dyDescent="0.3">
      <c r="A152" s="301" t="s">
        <v>86</v>
      </c>
      <c r="B152" s="302"/>
      <c r="C152" s="302"/>
      <c r="D152" s="302"/>
      <c r="E152" s="302"/>
      <c r="F152" s="302"/>
      <c r="G152" s="302"/>
      <c r="H152" s="302"/>
      <c r="I152" s="302"/>
      <c r="J152" s="302"/>
      <c r="K152" s="302"/>
      <c r="L152" s="303"/>
    </row>
    <row r="153" spans="1:12" ht="48" customHeight="1" x14ac:dyDescent="0.3">
      <c r="A153" s="283" t="s">
        <v>91</v>
      </c>
      <c r="B153" s="283" t="s">
        <v>392</v>
      </c>
      <c r="C153" s="299" t="s">
        <v>393</v>
      </c>
      <c r="D153" s="301" t="s">
        <v>264</v>
      </c>
      <c r="E153" s="302"/>
      <c r="F153" s="302"/>
      <c r="G153" s="303"/>
      <c r="H153" s="247">
        <f>I153</f>
        <v>12542.2</v>
      </c>
      <c r="I153" s="247">
        <v>12542.2</v>
      </c>
      <c r="J153" s="247"/>
      <c r="K153" s="247"/>
      <c r="L153" s="299" t="s">
        <v>394</v>
      </c>
    </row>
    <row r="154" spans="1:12" ht="75.75" customHeight="1" x14ac:dyDescent="0.3">
      <c r="A154" s="284"/>
      <c r="B154" s="284"/>
      <c r="C154" s="310"/>
      <c r="D154" s="34" t="s">
        <v>30</v>
      </c>
      <c r="E154" s="57" t="s">
        <v>56</v>
      </c>
      <c r="F154" s="335" t="s">
        <v>131</v>
      </c>
      <c r="G154" s="289" t="s">
        <v>148</v>
      </c>
      <c r="H154" s="247">
        <f>I154</f>
        <v>5647</v>
      </c>
      <c r="I154" s="164">
        <v>5647</v>
      </c>
      <c r="J154" s="164"/>
      <c r="K154" s="164"/>
      <c r="L154" s="310"/>
    </row>
    <row r="155" spans="1:12" ht="80.25" customHeight="1" x14ac:dyDescent="0.3">
      <c r="A155" s="284"/>
      <c r="B155" s="284"/>
      <c r="C155" s="310"/>
      <c r="D155" s="34" t="s">
        <v>30</v>
      </c>
      <c r="E155" s="57" t="s">
        <v>57</v>
      </c>
      <c r="F155" s="338"/>
      <c r="G155" s="290"/>
      <c r="H155" s="247">
        <f>I155</f>
        <v>6815.2</v>
      </c>
      <c r="I155" s="164">
        <v>6815.2</v>
      </c>
      <c r="J155" s="164"/>
      <c r="K155" s="164"/>
      <c r="L155" s="310"/>
    </row>
    <row r="156" spans="1:12" ht="78" customHeight="1" x14ac:dyDescent="0.3">
      <c r="A156" s="284"/>
      <c r="B156" s="284"/>
      <c r="C156" s="300"/>
      <c r="D156" s="34" t="s">
        <v>30</v>
      </c>
      <c r="E156" s="57" t="s">
        <v>137</v>
      </c>
      <c r="F156" s="336"/>
      <c r="G156" s="291"/>
      <c r="H156" s="167">
        <f>I156</f>
        <v>80</v>
      </c>
      <c r="I156" s="168">
        <v>80</v>
      </c>
      <c r="J156" s="164"/>
      <c r="K156" s="164"/>
      <c r="L156" s="300"/>
    </row>
    <row r="157" spans="1:12" ht="56.25" customHeight="1" x14ac:dyDescent="0.3">
      <c r="A157" s="284"/>
      <c r="B157" s="284"/>
      <c r="C157" s="475" t="s">
        <v>428</v>
      </c>
      <c r="D157" s="301" t="s">
        <v>265</v>
      </c>
      <c r="E157" s="302"/>
      <c r="F157" s="302"/>
      <c r="G157" s="303"/>
      <c r="H157" s="27">
        <f>SUM(H158:H160)</f>
        <v>26314.6</v>
      </c>
      <c r="I157" s="27"/>
      <c r="J157" s="27">
        <f>SUM(J158:J160)</f>
        <v>11875</v>
      </c>
      <c r="K157" s="27">
        <f>SUM(K158:K160)</f>
        <v>14439.6</v>
      </c>
      <c r="L157" s="330" t="s">
        <v>358</v>
      </c>
    </row>
    <row r="158" spans="1:12" ht="76.5" customHeight="1" x14ac:dyDescent="0.3">
      <c r="A158" s="284"/>
      <c r="B158" s="284"/>
      <c r="C158" s="476"/>
      <c r="D158" s="34" t="s">
        <v>30</v>
      </c>
      <c r="E158" s="57" t="s">
        <v>56</v>
      </c>
      <c r="F158" s="355" t="s">
        <v>131</v>
      </c>
      <c r="G158" s="333" t="s">
        <v>148</v>
      </c>
      <c r="H158" s="26">
        <f>I158+J158+K158</f>
        <v>11427.5</v>
      </c>
      <c r="I158" s="28"/>
      <c r="J158" s="28">
        <f>6244.4-1324.4</f>
        <v>4920</v>
      </c>
      <c r="K158" s="28">
        <v>6507.5</v>
      </c>
      <c r="L158" s="331"/>
    </row>
    <row r="159" spans="1:12" ht="69.75" customHeight="1" x14ac:dyDescent="0.3">
      <c r="A159" s="284"/>
      <c r="B159" s="284"/>
      <c r="C159" s="476"/>
      <c r="D159" s="34" t="s">
        <v>30</v>
      </c>
      <c r="E159" s="57" t="s">
        <v>57</v>
      </c>
      <c r="F159" s="356"/>
      <c r="G159" s="339"/>
      <c r="H159" s="26">
        <f>I159+J159+K159</f>
        <v>14673.1</v>
      </c>
      <c r="I159" s="28"/>
      <c r="J159" s="28">
        <f>7471-600</f>
        <v>6871</v>
      </c>
      <c r="K159" s="28">
        <v>7802.1</v>
      </c>
      <c r="L159" s="331"/>
    </row>
    <row r="160" spans="1:12" ht="64.5" customHeight="1" x14ac:dyDescent="0.3">
      <c r="A160" s="284"/>
      <c r="B160" s="284"/>
      <c r="C160" s="477"/>
      <c r="D160" s="34" t="s">
        <v>30</v>
      </c>
      <c r="E160" s="57" t="s">
        <v>137</v>
      </c>
      <c r="F160" s="357"/>
      <c r="G160" s="334"/>
      <c r="H160" s="26">
        <f>I160+J160+K160</f>
        <v>214</v>
      </c>
      <c r="I160" s="28"/>
      <c r="J160" s="28">
        <v>84</v>
      </c>
      <c r="K160" s="28">
        <v>130</v>
      </c>
      <c r="L160" s="332"/>
    </row>
    <row r="161" spans="1:12" ht="64.5" customHeight="1" x14ac:dyDescent="0.3">
      <c r="A161" s="284"/>
      <c r="B161" s="284"/>
      <c r="C161" s="299" t="s">
        <v>429</v>
      </c>
      <c r="D161" s="347" t="s">
        <v>266</v>
      </c>
      <c r="E161" s="347"/>
      <c r="F161" s="347"/>
      <c r="G161" s="347"/>
      <c r="H161" s="26">
        <f>I161</f>
        <v>2806.3</v>
      </c>
      <c r="I161" s="28">
        <v>2806.3</v>
      </c>
      <c r="J161" s="28"/>
      <c r="K161" s="28"/>
      <c r="L161" s="330" t="s">
        <v>395</v>
      </c>
    </row>
    <row r="162" spans="1:12" ht="64.5" customHeight="1" x14ac:dyDescent="0.3">
      <c r="A162" s="284"/>
      <c r="B162" s="284"/>
      <c r="C162" s="310"/>
      <c r="D162" s="34" t="s">
        <v>30</v>
      </c>
      <c r="E162" s="220" t="s">
        <v>56</v>
      </c>
      <c r="F162" s="355" t="s">
        <v>131</v>
      </c>
      <c r="G162" s="355" t="s">
        <v>148</v>
      </c>
      <c r="H162" s="26">
        <f>I162</f>
        <v>1680.2</v>
      </c>
      <c r="I162" s="28">
        <v>1680.2</v>
      </c>
      <c r="J162" s="28"/>
      <c r="K162" s="28"/>
      <c r="L162" s="331"/>
    </row>
    <row r="163" spans="1:12" ht="64.5" customHeight="1" x14ac:dyDescent="0.3">
      <c r="A163" s="284"/>
      <c r="B163" s="284"/>
      <c r="C163" s="310"/>
      <c r="D163" s="34" t="s">
        <v>30</v>
      </c>
      <c r="E163" s="253" t="s">
        <v>57</v>
      </c>
      <c r="F163" s="356"/>
      <c r="G163" s="356"/>
      <c r="H163" s="26">
        <f>I163</f>
        <v>1086.0999999999999</v>
      </c>
      <c r="I163" s="28">
        <v>1086.0999999999999</v>
      </c>
      <c r="J163" s="28"/>
      <c r="K163" s="28"/>
      <c r="L163" s="331"/>
    </row>
    <row r="164" spans="1:12" ht="64.5" customHeight="1" x14ac:dyDescent="0.3">
      <c r="A164" s="284"/>
      <c r="B164" s="284"/>
      <c r="C164" s="300"/>
      <c r="D164" s="34" t="s">
        <v>30</v>
      </c>
      <c r="E164" s="220" t="s">
        <v>137</v>
      </c>
      <c r="F164" s="357"/>
      <c r="G164" s="357"/>
      <c r="H164" s="26">
        <f>I164</f>
        <v>40</v>
      </c>
      <c r="I164" s="28">
        <v>40</v>
      </c>
      <c r="J164" s="28"/>
      <c r="K164" s="28"/>
      <c r="L164" s="332"/>
    </row>
    <row r="165" spans="1:12" s="49" customFormat="1" ht="75" customHeight="1" x14ac:dyDescent="0.2">
      <c r="A165" s="284"/>
      <c r="B165" s="284"/>
      <c r="C165" s="324" t="s">
        <v>516</v>
      </c>
      <c r="D165" s="347" t="s">
        <v>500</v>
      </c>
      <c r="E165" s="347"/>
      <c r="F165" s="347"/>
      <c r="G165" s="347"/>
      <c r="H165" s="26">
        <f>H166+H167+H168</f>
        <v>7482.9000000000005</v>
      </c>
      <c r="I165" s="26"/>
      <c r="J165" s="26">
        <f>J166+J167+J168</f>
        <v>5824.4</v>
      </c>
      <c r="K165" s="26">
        <f>K166+K167+K168</f>
        <v>1658.5</v>
      </c>
      <c r="L165" s="299" t="s">
        <v>517</v>
      </c>
    </row>
    <row r="166" spans="1:12" ht="75" customHeight="1" x14ac:dyDescent="0.3">
      <c r="A166" s="284"/>
      <c r="B166" s="284"/>
      <c r="C166" s="326"/>
      <c r="D166" s="34" t="s">
        <v>30</v>
      </c>
      <c r="E166" s="220" t="s">
        <v>56</v>
      </c>
      <c r="F166" s="333" t="s">
        <v>131</v>
      </c>
      <c r="G166" s="333" t="s">
        <v>148</v>
      </c>
      <c r="H166" s="26">
        <f>I166+J166+K166</f>
        <v>4245.6000000000004</v>
      </c>
      <c r="I166" s="28"/>
      <c r="J166" s="28">
        <f>835+560+600+1324.4</f>
        <v>3319.4</v>
      </c>
      <c r="K166" s="28">
        <v>926.2</v>
      </c>
      <c r="L166" s="310"/>
    </row>
    <row r="167" spans="1:12" ht="87.75" customHeight="1" x14ac:dyDescent="0.3">
      <c r="A167" s="284"/>
      <c r="B167" s="284"/>
      <c r="C167" s="326"/>
      <c r="D167" s="34" t="s">
        <v>30</v>
      </c>
      <c r="E167" s="253" t="s">
        <v>57</v>
      </c>
      <c r="F167" s="339"/>
      <c r="G167" s="339"/>
      <c r="H167" s="26">
        <f>I167+J167+K167</f>
        <v>3103</v>
      </c>
      <c r="I167" s="28"/>
      <c r="J167" s="28">
        <f>625+390+400+1000</f>
        <v>2415</v>
      </c>
      <c r="K167" s="28">
        <v>688</v>
      </c>
      <c r="L167" s="310"/>
    </row>
    <row r="168" spans="1:12" ht="87.75" customHeight="1" x14ac:dyDescent="0.3">
      <c r="A168" s="284"/>
      <c r="B168" s="284"/>
      <c r="C168" s="328"/>
      <c r="D168" s="34" t="s">
        <v>30</v>
      </c>
      <c r="E168" s="220" t="s">
        <v>137</v>
      </c>
      <c r="F168" s="334"/>
      <c r="G168" s="334"/>
      <c r="H168" s="26">
        <f>I168+J168+K168</f>
        <v>134.30000000000001</v>
      </c>
      <c r="I168" s="28"/>
      <c r="J168" s="28">
        <f>40+50</f>
        <v>90</v>
      </c>
      <c r="K168" s="28">
        <v>44.3</v>
      </c>
      <c r="L168" s="300"/>
    </row>
    <row r="169" spans="1:12" ht="87.75" customHeight="1" x14ac:dyDescent="0.3">
      <c r="A169" s="284"/>
      <c r="B169" s="284"/>
      <c r="C169" s="299" t="s">
        <v>431</v>
      </c>
      <c r="D169" s="347" t="s">
        <v>499</v>
      </c>
      <c r="E169" s="347"/>
      <c r="F169" s="347"/>
      <c r="G169" s="347"/>
      <c r="H169" s="26">
        <f>I169</f>
        <v>2061.6</v>
      </c>
      <c r="I169" s="28">
        <v>2061.6</v>
      </c>
      <c r="J169" s="28"/>
      <c r="K169" s="28"/>
      <c r="L169" s="299" t="s">
        <v>396</v>
      </c>
    </row>
    <row r="170" spans="1:12" ht="87.75" customHeight="1" x14ac:dyDescent="0.3">
      <c r="A170" s="284"/>
      <c r="B170" s="284"/>
      <c r="C170" s="310"/>
      <c r="D170" s="466" t="s">
        <v>30</v>
      </c>
      <c r="E170" s="220" t="s">
        <v>52</v>
      </c>
      <c r="F170" s="344" t="s">
        <v>131</v>
      </c>
      <c r="G170" s="342" t="s">
        <v>148</v>
      </c>
      <c r="H170" s="26">
        <f>I170</f>
        <v>611.6</v>
      </c>
      <c r="I170" s="28">
        <v>611.6</v>
      </c>
      <c r="J170" s="28"/>
      <c r="K170" s="28"/>
      <c r="L170" s="310"/>
    </row>
    <row r="171" spans="1:12" ht="87.75" customHeight="1" x14ac:dyDescent="0.3">
      <c r="A171" s="284"/>
      <c r="B171" s="284"/>
      <c r="C171" s="300"/>
      <c r="D171" s="466"/>
      <c r="E171" s="220" t="s">
        <v>54</v>
      </c>
      <c r="F171" s="344"/>
      <c r="G171" s="342"/>
      <c r="H171" s="26">
        <f>I171</f>
        <v>1450</v>
      </c>
      <c r="I171" s="28">
        <v>1450</v>
      </c>
      <c r="J171" s="28"/>
      <c r="K171" s="28"/>
      <c r="L171" s="300"/>
    </row>
    <row r="172" spans="1:12" ht="75" customHeight="1" x14ac:dyDescent="0.3">
      <c r="A172" s="284"/>
      <c r="B172" s="284"/>
      <c r="C172" s="340" t="s">
        <v>432</v>
      </c>
      <c r="D172" s="347" t="s">
        <v>498</v>
      </c>
      <c r="E172" s="347"/>
      <c r="F172" s="347"/>
      <c r="G172" s="347"/>
      <c r="H172" s="26">
        <f>H173+H174</f>
        <v>5132.1000000000004</v>
      </c>
      <c r="I172" s="26"/>
      <c r="J172" s="26">
        <f>J173+J174</f>
        <v>2196.6</v>
      </c>
      <c r="K172" s="26">
        <f>K173+K174</f>
        <v>2935.5</v>
      </c>
      <c r="L172" s="340" t="s">
        <v>408</v>
      </c>
    </row>
    <row r="173" spans="1:12" ht="52.5" customHeight="1" x14ac:dyDescent="0.3">
      <c r="A173" s="284"/>
      <c r="B173" s="284"/>
      <c r="C173" s="340"/>
      <c r="D173" s="466" t="s">
        <v>30</v>
      </c>
      <c r="E173" s="220" t="s">
        <v>52</v>
      </c>
      <c r="F173" s="344" t="s">
        <v>131</v>
      </c>
      <c r="G173" s="342" t="s">
        <v>148</v>
      </c>
      <c r="H173" s="26">
        <f>I173+J173+K173</f>
        <v>1507.8000000000002</v>
      </c>
      <c r="I173" s="28"/>
      <c r="J173" s="28">
        <f>814-163.4</f>
        <v>650.6</v>
      </c>
      <c r="K173" s="28">
        <v>857.2</v>
      </c>
      <c r="L173" s="340"/>
    </row>
    <row r="174" spans="1:12" ht="75" customHeight="1" x14ac:dyDescent="0.3">
      <c r="A174" s="284"/>
      <c r="B174" s="284"/>
      <c r="C174" s="340"/>
      <c r="D174" s="466"/>
      <c r="E174" s="220" t="s">
        <v>54</v>
      </c>
      <c r="F174" s="344"/>
      <c r="G174" s="342"/>
      <c r="H174" s="26">
        <f>I174+J174+K174</f>
        <v>3624.3</v>
      </c>
      <c r="I174" s="28"/>
      <c r="J174" s="28">
        <f>1976-430</f>
        <v>1546</v>
      </c>
      <c r="K174" s="28">
        <v>2078.3000000000002</v>
      </c>
      <c r="L174" s="340"/>
    </row>
    <row r="175" spans="1:12" ht="198" customHeight="1" x14ac:dyDescent="0.3">
      <c r="A175" s="284"/>
      <c r="B175" s="284"/>
      <c r="C175" s="230" t="s">
        <v>433</v>
      </c>
      <c r="D175" s="58" t="s">
        <v>26</v>
      </c>
      <c r="E175" s="220" t="s">
        <v>53</v>
      </c>
      <c r="F175" s="222" t="s">
        <v>131</v>
      </c>
      <c r="G175" s="221" t="s">
        <v>148</v>
      </c>
      <c r="H175" s="26">
        <f>I175</f>
        <v>364.8</v>
      </c>
      <c r="I175" s="28">
        <v>364.8</v>
      </c>
      <c r="J175" s="28"/>
      <c r="K175" s="28"/>
      <c r="L175" s="234" t="s">
        <v>397</v>
      </c>
    </row>
    <row r="176" spans="1:12" ht="243" customHeight="1" x14ac:dyDescent="0.3">
      <c r="A176" s="285"/>
      <c r="B176" s="285"/>
      <c r="C176" s="220" t="s">
        <v>434</v>
      </c>
      <c r="D176" s="58" t="s">
        <v>26</v>
      </c>
      <c r="E176" s="220" t="s">
        <v>53</v>
      </c>
      <c r="F176" s="222" t="s">
        <v>131</v>
      </c>
      <c r="G176" s="221" t="s">
        <v>148</v>
      </c>
      <c r="H176" s="26">
        <f>I176+J176+K176</f>
        <v>631.70000000000005</v>
      </c>
      <c r="I176" s="28"/>
      <c r="J176" s="28">
        <v>300</v>
      </c>
      <c r="K176" s="28">
        <v>331.7</v>
      </c>
      <c r="L176" s="171" t="s">
        <v>369</v>
      </c>
    </row>
    <row r="177" spans="1:12" ht="75" customHeight="1" x14ac:dyDescent="0.3">
      <c r="A177" s="467" t="s">
        <v>47</v>
      </c>
      <c r="B177" s="468"/>
      <c r="C177" s="468"/>
      <c r="D177" s="468"/>
      <c r="E177" s="468"/>
      <c r="F177" s="469"/>
      <c r="G177" s="256"/>
      <c r="H177" s="26">
        <f>H153+H157+H161+H165+H169+H172+H175+H176</f>
        <v>57336.200000000004</v>
      </c>
      <c r="I177" s="26">
        <f>I153+I161+I169+I175</f>
        <v>17774.899999999998</v>
      </c>
      <c r="J177" s="26">
        <f>J157+J165+J172+J176</f>
        <v>20196</v>
      </c>
      <c r="K177" s="26">
        <f>K157+K165+K172+K176</f>
        <v>19365.3</v>
      </c>
      <c r="L177" s="307"/>
    </row>
    <row r="178" spans="1:12" s="49" customFormat="1" ht="75" customHeight="1" x14ac:dyDescent="0.2">
      <c r="A178" s="311" t="s">
        <v>159</v>
      </c>
      <c r="B178" s="311"/>
      <c r="C178" s="41"/>
      <c r="D178" s="59"/>
      <c r="E178" s="60"/>
      <c r="F178" s="61"/>
      <c r="G178" s="248" t="s">
        <v>148</v>
      </c>
      <c r="H178" s="27">
        <f>H154+H155+H156+H158+H159+H160+H162+H163+H164+H166+H167+H168+H170+H171+H173+H174+H175+H176</f>
        <v>57336.200000000004</v>
      </c>
      <c r="I178" s="27">
        <f>I154+I155+I156+I162+I163+I164+I170+I171+I175</f>
        <v>17774.900000000001</v>
      </c>
      <c r="J178" s="27">
        <f>J158+J159+J160+J166+J167+J168+J173+J174+J176</f>
        <v>20196</v>
      </c>
      <c r="K178" s="27">
        <f>K158+K159+K160+K166+K167+K168+K173+K174+K176</f>
        <v>19365.3</v>
      </c>
      <c r="L178" s="382"/>
    </row>
    <row r="179" spans="1:12" ht="75" customHeight="1" x14ac:dyDescent="0.3">
      <c r="A179" s="341" t="s">
        <v>158</v>
      </c>
      <c r="B179" s="341"/>
      <c r="C179" s="341"/>
      <c r="D179" s="341"/>
      <c r="E179" s="317" t="s">
        <v>52</v>
      </c>
      <c r="F179" s="317"/>
      <c r="G179" s="292" t="s">
        <v>148</v>
      </c>
      <c r="H179" s="27">
        <f>H170+H173</f>
        <v>2119.4</v>
      </c>
      <c r="I179" s="27">
        <f>I170</f>
        <v>611.6</v>
      </c>
      <c r="J179" s="27">
        <f>J173</f>
        <v>650.6</v>
      </c>
      <c r="K179" s="27">
        <f>K173</f>
        <v>857.2</v>
      </c>
      <c r="L179" s="382"/>
    </row>
    <row r="180" spans="1:12" ht="75" customHeight="1" x14ac:dyDescent="0.3">
      <c r="A180" s="341"/>
      <c r="B180" s="341"/>
      <c r="C180" s="341"/>
      <c r="D180" s="341"/>
      <c r="E180" s="317" t="s">
        <v>53</v>
      </c>
      <c r="F180" s="317"/>
      <c r="G180" s="293"/>
      <c r="H180" s="27">
        <f>H175+H176</f>
        <v>996.5</v>
      </c>
      <c r="I180" s="27">
        <f>I175</f>
        <v>364.8</v>
      </c>
      <c r="J180" s="27">
        <f>J176</f>
        <v>300</v>
      </c>
      <c r="K180" s="27">
        <f>K176</f>
        <v>331.7</v>
      </c>
      <c r="L180" s="382"/>
    </row>
    <row r="181" spans="1:12" ht="75" customHeight="1" x14ac:dyDescent="0.3">
      <c r="A181" s="341"/>
      <c r="B181" s="341"/>
      <c r="C181" s="341"/>
      <c r="D181" s="341"/>
      <c r="E181" s="353" t="s">
        <v>54</v>
      </c>
      <c r="F181" s="354"/>
      <c r="G181" s="293"/>
      <c r="H181" s="27">
        <f>H171+H174</f>
        <v>5074.3</v>
      </c>
      <c r="I181" s="27">
        <f>I171</f>
        <v>1450</v>
      </c>
      <c r="J181" s="27">
        <f>J174</f>
        <v>1546</v>
      </c>
      <c r="K181" s="27">
        <f>K174</f>
        <v>2078.3000000000002</v>
      </c>
      <c r="L181" s="382"/>
    </row>
    <row r="182" spans="1:12" ht="75" customHeight="1" x14ac:dyDescent="0.3">
      <c r="A182" s="341"/>
      <c r="B182" s="341"/>
      <c r="C182" s="341"/>
      <c r="D182" s="341"/>
      <c r="E182" s="317" t="s">
        <v>56</v>
      </c>
      <c r="F182" s="317"/>
      <c r="G182" s="293"/>
      <c r="H182" s="27">
        <f>H154+H158+H162+H166</f>
        <v>23000.300000000003</v>
      </c>
      <c r="I182" s="27">
        <f>I154+I162</f>
        <v>7327.2</v>
      </c>
      <c r="J182" s="27">
        <f t="shared" ref="J182:K184" si="13">J158+J166</f>
        <v>8239.4</v>
      </c>
      <c r="K182" s="27">
        <f t="shared" si="13"/>
        <v>7433.7</v>
      </c>
      <c r="L182" s="382"/>
    </row>
    <row r="183" spans="1:12" ht="75" customHeight="1" x14ac:dyDescent="0.3">
      <c r="A183" s="341"/>
      <c r="B183" s="341"/>
      <c r="C183" s="341"/>
      <c r="D183" s="341"/>
      <c r="E183" s="317" t="s">
        <v>57</v>
      </c>
      <c r="F183" s="317"/>
      <c r="G183" s="293"/>
      <c r="H183" s="27">
        <f>H155+H159+H163+H167</f>
        <v>25677.399999999998</v>
      </c>
      <c r="I183" s="27">
        <f>I155+I163</f>
        <v>7901.2999999999993</v>
      </c>
      <c r="J183" s="27">
        <f t="shared" si="13"/>
        <v>9286</v>
      </c>
      <c r="K183" s="27">
        <f t="shared" si="13"/>
        <v>8490.1</v>
      </c>
      <c r="L183" s="382"/>
    </row>
    <row r="184" spans="1:12" ht="75" customHeight="1" x14ac:dyDescent="0.3">
      <c r="A184" s="341"/>
      <c r="B184" s="341"/>
      <c r="C184" s="341"/>
      <c r="D184" s="341"/>
      <c r="E184" s="353" t="s">
        <v>137</v>
      </c>
      <c r="F184" s="354"/>
      <c r="G184" s="294"/>
      <c r="H184" s="27">
        <f>H156+H160+H164+H168</f>
        <v>468.3</v>
      </c>
      <c r="I184" s="27">
        <f>I156+I164</f>
        <v>120</v>
      </c>
      <c r="J184" s="27">
        <f t="shared" si="13"/>
        <v>174</v>
      </c>
      <c r="K184" s="27">
        <f t="shared" si="13"/>
        <v>174.3</v>
      </c>
      <c r="L184" s="382"/>
    </row>
    <row r="185" spans="1:12" ht="75" customHeight="1" x14ac:dyDescent="0.3">
      <c r="A185" s="463" t="s">
        <v>129</v>
      </c>
      <c r="B185" s="464"/>
      <c r="C185" s="464"/>
      <c r="D185" s="464"/>
      <c r="E185" s="464"/>
      <c r="F185" s="464"/>
      <c r="G185" s="464"/>
      <c r="H185" s="464"/>
      <c r="I185" s="464"/>
      <c r="J185" s="464"/>
      <c r="K185" s="464"/>
      <c r="L185" s="465"/>
    </row>
    <row r="186" spans="1:12" ht="267" customHeight="1" x14ac:dyDescent="0.3">
      <c r="A186" s="304" t="s">
        <v>95</v>
      </c>
      <c r="B186" s="470" t="s">
        <v>87</v>
      </c>
      <c r="C186" s="220" t="s">
        <v>398</v>
      </c>
      <c r="D186" s="123">
        <v>712151</v>
      </c>
      <c r="E186" s="57" t="s">
        <v>133</v>
      </c>
      <c r="F186" s="240" t="s">
        <v>131</v>
      </c>
      <c r="G186" s="240" t="s">
        <v>136</v>
      </c>
      <c r="H186" s="103">
        <f>I186</f>
        <v>2933.1</v>
      </c>
      <c r="I186" s="103">
        <v>2933.1</v>
      </c>
      <c r="J186" s="103"/>
      <c r="K186" s="103"/>
      <c r="L186" s="220" t="s">
        <v>205</v>
      </c>
    </row>
    <row r="187" spans="1:12" ht="258.75" customHeight="1" x14ac:dyDescent="0.3">
      <c r="A187" s="304"/>
      <c r="B187" s="470"/>
      <c r="C187" s="295" t="s">
        <v>435</v>
      </c>
      <c r="D187" s="297" t="s">
        <v>29</v>
      </c>
      <c r="E187" s="299" t="s">
        <v>133</v>
      </c>
      <c r="F187" s="333" t="s">
        <v>131</v>
      </c>
      <c r="G187" s="240" t="s">
        <v>136</v>
      </c>
      <c r="H187" s="32">
        <f>I187+J187+K187</f>
        <v>7806.4</v>
      </c>
      <c r="I187" s="28"/>
      <c r="J187" s="28">
        <f>3507+6+200+100</f>
        <v>3813</v>
      </c>
      <c r="K187" s="28">
        <f>1566.4+2249.8+177.2</f>
        <v>3993.4</v>
      </c>
      <c r="L187" s="299" t="s">
        <v>205</v>
      </c>
    </row>
    <row r="188" spans="1:12" ht="73.5" customHeight="1" x14ac:dyDescent="0.3">
      <c r="A188" s="304"/>
      <c r="B188" s="470"/>
      <c r="C188" s="296"/>
      <c r="D188" s="298"/>
      <c r="E188" s="300"/>
      <c r="F188" s="339"/>
      <c r="G188" s="240" t="s">
        <v>546</v>
      </c>
      <c r="H188" s="32">
        <f>I188+J188+K188</f>
        <v>0.125</v>
      </c>
      <c r="I188" s="28"/>
      <c r="J188" s="28">
        <v>0.125</v>
      </c>
      <c r="K188" s="28"/>
      <c r="L188" s="300"/>
    </row>
    <row r="189" spans="1:12" ht="167.25" customHeight="1" x14ac:dyDescent="0.3">
      <c r="A189" s="304"/>
      <c r="B189" s="470"/>
      <c r="C189" s="165" t="s">
        <v>436</v>
      </c>
      <c r="D189" s="35" t="s">
        <v>30</v>
      </c>
      <c r="E189" s="220" t="s">
        <v>133</v>
      </c>
      <c r="F189" s="339"/>
      <c r="G189" s="240" t="s">
        <v>136</v>
      </c>
      <c r="H189" s="32">
        <f>I189+J189+K189</f>
        <v>21.2</v>
      </c>
      <c r="I189" s="28">
        <v>21.2</v>
      </c>
      <c r="J189" s="28">
        <v>0</v>
      </c>
      <c r="K189" s="28">
        <v>0</v>
      </c>
      <c r="L189" s="231" t="s">
        <v>399</v>
      </c>
    </row>
    <row r="190" spans="1:12" ht="146.25" customHeight="1" x14ac:dyDescent="0.3">
      <c r="A190" s="304"/>
      <c r="B190" s="470"/>
      <c r="C190" s="165" t="s">
        <v>437</v>
      </c>
      <c r="D190" s="35" t="s">
        <v>30</v>
      </c>
      <c r="E190" s="220" t="s">
        <v>133</v>
      </c>
      <c r="F190" s="339"/>
      <c r="G190" s="221" t="s">
        <v>351</v>
      </c>
      <c r="H190" s="32">
        <f>I190+J190+K190</f>
        <v>18301.3</v>
      </c>
      <c r="I190" s="28">
        <v>16537.099999999999</v>
      </c>
      <c r="J190" s="28">
        <f>1745+19.2</f>
        <v>1764.2</v>
      </c>
      <c r="K190" s="28">
        <v>0</v>
      </c>
      <c r="L190" s="231" t="s">
        <v>352</v>
      </c>
    </row>
    <row r="191" spans="1:12" ht="60" customHeight="1" x14ac:dyDescent="0.3">
      <c r="A191" s="352" t="s">
        <v>49</v>
      </c>
      <c r="B191" s="352"/>
      <c r="C191" s="352"/>
      <c r="D191" s="352"/>
      <c r="E191" s="352"/>
      <c r="F191" s="352"/>
      <c r="G191" s="108"/>
      <c r="H191" s="26">
        <f>H186+H187+H189+H190+H188</f>
        <v>29062.125</v>
      </c>
      <c r="I191" s="26">
        <f>I186+I189+I190</f>
        <v>19491.399999999998</v>
      </c>
      <c r="J191" s="26">
        <f>J187+J189+J190+J188</f>
        <v>5577.3249999999998</v>
      </c>
      <c r="K191" s="26">
        <f>K187</f>
        <v>3993.4</v>
      </c>
      <c r="L191" s="381"/>
    </row>
    <row r="192" spans="1:12" ht="80.25" customHeight="1" x14ac:dyDescent="0.3">
      <c r="A192" s="483" t="s">
        <v>159</v>
      </c>
      <c r="B192" s="483"/>
      <c r="C192" s="483"/>
      <c r="D192" s="483"/>
      <c r="E192" s="483"/>
      <c r="F192" s="483"/>
      <c r="G192" s="204" t="s">
        <v>136</v>
      </c>
      <c r="H192" s="26">
        <f>H186+H187+H189</f>
        <v>10760.7</v>
      </c>
      <c r="I192" s="26">
        <f>I186+I189</f>
        <v>2954.2999999999997</v>
      </c>
      <c r="J192" s="26">
        <f>J187+J189</f>
        <v>3813</v>
      </c>
      <c r="K192" s="26">
        <f>K187+K189</f>
        <v>3993.4</v>
      </c>
      <c r="L192" s="381"/>
    </row>
    <row r="193" spans="1:12" ht="80.25" customHeight="1" x14ac:dyDescent="0.3">
      <c r="A193" s="483"/>
      <c r="B193" s="483"/>
      <c r="C193" s="483"/>
      <c r="D193" s="483"/>
      <c r="E193" s="483"/>
      <c r="F193" s="483"/>
      <c r="G193" s="268" t="s">
        <v>351</v>
      </c>
      <c r="H193" s="26">
        <f>H190</f>
        <v>18301.3</v>
      </c>
      <c r="I193" s="26">
        <f>I190</f>
        <v>16537.099999999999</v>
      </c>
      <c r="J193" s="26">
        <f>J190</f>
        <v>1764.2</v>
      </c>
      <c r="K193" s="26">
        <f>K190</f>
        <v>0</v>
      </c>
      <c r="L193" s="381"/>
    </row>
    <row r="194" spans="1:12" ht="80.25" customHeight="1" x14ac:dyDescent="0.3">
      <c r="A194" s="483"/>
      <c r="B194" s="483"/>
      <c r="C194" s="483"/>
      <c r="D194" s="483"/>
      <c r="E194" s="483"/>
      <c r="F194" s="483"/>
      <c r="G194" s="240" t="s">
        <v>546</v>
      </c>
      <c r="H194" s="26">
        <f t="shared" ref="H194:I194" si="14">H188</f>
        <v>0.125</v>
      </c>
      <c r="I194" s="26">
        <f t="shared" si="14"/>
        <v>0</v>
      </c>
      <c r="J194" s="26">
        <f>J188</f>
        <v>0.125</v>
      </c>
      <c r="K194" s="26">
        <f>K188</f>
        <v>0</v>
      </c>
      <c r="L194" s="245"/>
    </row>
    <row r="195" spans="1:12" ht="75" customHeight="1" x14ac:dyDescent="0.3">
      <c r="A195" s="301" t="s">
        <v>96</v>
      </c>
      <c r="B195" s="302"/>
      <c r="C195" s="302"/>
      <c r="D195" s="302"/>
      <c r="E195" s="302"/>
      <c r="F195" s="302"/>
      <c r="G195" s="302"/>
      <c r="H195" s="302"/>
      <c r="I195" s="302"/>
      <c r="J195" s="302"/>
      <c r="K195" s="302"/>
      <c r="L195" s="303"/>
    </row>
    <row r="196" spans="1:12" ht="75" customHeight="1" x14ac:dyDescent="0.3">
      <c r="A196" s="484" t="s">
        <v>97</v>
      </c>
      <c r="B196" s="487" t="s">
        <v>98</v>
      </c>
      <c r="C196" s="299" t="s">
        <v>400</v>
      </c>
      <c r="D196" s="301" t="s">
        <v>123</v>
      </c>
      <c r="E196" s="302"/>
      <c r="F196" s="302"/>
      <c r="G196" s="303"/>
      <c r="H196" s="166">
        <f>I196</f>
        <v>80593</v>
      </c>
      <c r="I196" s="166">
        <v>80593</v>
      </c>
      <c r="J196" s="242"/>
      <c r="K196" s="166"/>
      <c r="L196" s="299" t="s">
        <v>403</v>
      </c>
    </row>
    <row r="197" spans="1:12" ht="75" customHeight="1" x14ac:dyDescent="0.3">
      <c r="A197" s="485"/>
      <c r="B197" s="488"/>
      <c r="C197" s="310"/>
      <c r="D197" s="241" t="s">
        <v>30</v>
      </c>
      <c r="E197" s="220" t="s">
        <v>133</v>
      </c>
      <c r="F197" s="289" t="s">
        <v>132</v>
      </c>
      <c r="G197" s="289" t="s">
        <v>151</v>
      </c>
      <c r="H197" s="166">
        <f>I197</f>
        <v>30193</v>
      </c>
      <c r="I197" s="71">
        <v>30193</v>
      </c>
      <c r="J197" s="71"/>
      <c r="K197" s="71"/>
      <c r="L197" s="310"/>
    </row>
    <row r="198" spans="1:12" ht="113.25" customHeight="1" x14ac:dyDescent="0.3">
      <c r="A198" s="485"/>
      <c r="B198" s="488"/>
      <c r="C198" s="310"/>
      <c r="D198" s="241" t="s">
        <v>303</v>
      </c>
      <c r="E198" s="220" t="s">
        <v>304</v>
      </c>
      <c r="F198" s="290"/>
      <c r="G198" s="290"/>
      <c r="H198" s="166">
        <f>I198</f>
        <v>400</v>
      </c>
      <c r="I198" s="71">
        <v>400</v>
      </c>
      <c r="J198" s="71"/>
      <c r="K198" s="71"/>
      <c r="L198" s="310"/>
    </row>
    <row r="199" spans="1:12" ht="75" customHeight="1" x14ac:dyDescent="0.3">
      <c r="A199" s="485"/>
      <c r="B199" s="488"/>
      <c r="C199" s="310"/>
      <c r="D199" s="241" t="s">
        <v>26</v>
      </c>
      <c r="E199" s="220" t="s">
        <v>58</v>
      </c>
      <c r="F199" s="290"/>
      <c r="G199" s="290"/>
      <c r="H199" s="166">
        <f>I199</f>
        <v>18500</v>
      </c>
      <c r="I199" s="168">
        <v>18500</v>
      </c>
      <c r="J199" s="168"/>
      <c r="K199" s="168"/>
      <c r="L199" s="310"/>
    </row>
    <row r="200" spans="1:12" ht="75" customHeight="1" x14ac:dyDescent="0.3">
      <c r="A200" s="485"/>
      <c r="B200" s="488"/>
      <c r="C200" s="300"/>
      <c r="D200" s="34" t="s">
        <v>26</v>
      </c>
      <c r="E200" s="244" t="s">
        <v>137</v>
      </c>
      <c r="F200" s="291"/>
      <c r="G200" s="291"/>
      <c r="H200" s="166">
        <f>I200</f>
        <v>31500</v>
      </c>
      <c r="I200" s="168">
        <v>31500</v>
      </c>
      <c r="J200" s="168"/>
      <c r="K200" s="168"/>
      <c r="L200" s="300"/>
    </row>
    <row r="201" spans="1:12" ht="69" customHeight="1" x14ac:dyDescent="0.3">
      <c r="A201" s="485"/>
      <c r="B201" s="488"/>
      <c r="C201" s="361" t="s">
        <v>438</v>
      </c>
      <c r="D201" s="301" t="s">
        <v>124</v>
      </c>
      <c r="E201" s="302"/>
      <c r="F201" s="302"/>
      <c r="G201" s="303"/>
      <c r="H201" s="27">
        <f>H202+H205+H206+H207+H208+H209+H210+H211+H212+H204+H203</f>
        <v>245509.2</v>
      </c>
      <c r="I201" s="27"/>
      <c r="J201" s="27">
        <f>J202+J205+J206+J207+J208+J209+J210+J211+J212+J204+J203</f>
        <v>165509.20000000001</v>
      </c>
      <c r="K201" s="27">
        <f>K202+K205+K206+K207+K208+K209+K210+K211+K212+K204+K203</f>
        <v>80000</v>
      </c>
      <c r="L201" s="299" t="s">
        <v>359</v>
      </c>
    </row>
    <row r="202" spans="1:12" ht="75" customHeight="1" x14ac:dyDescent="0.3">
      <c r="A202" s="485"/>
      <c r="B202" s="488"/>
      <c r="C202" s="362"/>
      <c r="D202" s="241" t="s">
        <v>30</v>
      </c>
      <c r="E202" s="220" t="s">
        <v>133</v>
      </c>
      <c r="F202" s="344" t="s">
        <v>132</v>
      </c>
      <c r="G202" s="333" t="s">
        <v>151</v>
      </c>
      <c r="H202" s="32">
        <f t="shared" ref="H202:H212" si="15">I202+J202+K202</f>
        <v>191446.6</v>
      </c>
      <c r="I202" s="28"/>
      <c r="J202" s="28">
        <f>80000+176.6-5000+25000-3500+7000+2000+5770</f>
        <v>111446.6</v>
      </c>
      <c r="K202" s="28">
        <v>80000</v>
      </c>
      <c r="L202" s="310"/>
    </row>
    <row r="203" spans="1:12" ht="97.5" hidden="1" customHeight="1" x14ac:dyDescent="0.3">
      <c r="A203" s="485"/>
      <c r="B203" s="488"/>
      <c r="C203" s="362"/>
      <c r="D203" s="241" t="s">
        <v>303</v>
      </c>
      <c r="E203" s="220" t="s">
        <v>304</v>
      </c>
      <c r="F203" s="344"/>
      <c r="G203" s="339"/>
      <c r="H203" s="32">
        <f t="shared" si="15"/>
        <v>0</v>
      </c>
      <c r="I203" s="28"/>
      <c r="J203" s="28">
        <v>0</v>
      </c>
      <c r="K203" s="28">
        <v>0</v>
      </c>
      <c r="L203" s="310"/>
    </row>
    <row r="204" spans="1:12" ht="92.25" hidden="1" customHeight="1" x14ac:dyDescent="0.3">
      <c r="A204" s="485"/>
      <c r="B204" s="488"/>
      <c r="C204" s="362"/>
      <c r="D204" s="35" t="s">
        <v>29</v>
      </c>
      <c r="E204" s="220" t="s">
        <v>133</v>
      </c>
      <c r="F204" s="344"/>
      <c r="G204" s="339"/>
      <c r="H204" s="32">
        <f t="shared" si="15"/>
        <v>0</v>
      </c>
      <c r="I204" s="28"/>
      <c r="J204" s="28"/>
      <c r="K204" s="28"/>
      <c r="L204" s="310"/>
    </row>
    <row r="205" spans="1:12" ht="92.25" hidden="1" customHeight="1" x14ac:dyDescent="0.3">
      <c r="A205" s="485"/>
      <c r="B205" s="488"/>
      <c r="C205" s="362"/>
      <c r="D205" s="241" t="s">
        <v>26</v>
      </c>
      <c r="E205" s="220" t="s">
        <v>58</v>
      </c>
      <c r="F205" s="344"/>
      <c r="G205" s="339"/>
      <c r="H205" s="26">
        <f t="shared" si="15"/>
        <v>0</v>
      </c>
      <c r="I205" s="28"/>
      <c r="J205" s="28">
        <v>0</v>
      </c>
      <c r="K205" s="28">
        <v>0</v>
      </c>
      <c r="L205" s="310"/>
    </row>
    <row r="206" spans="1:12" ht="92.25" hidden="1" customHeight="1" x14ac:dyDescent="0.3">
      <c r="A206" s="485"/>
      <c r="B206" s="488"/>
      <c r="C206" s="362"/>
      <c r="D206" s="62" t="s">
        <v>26</v>
      </c>
      <c r="E206" s="220" t="s">
        <v>52</v>
      </c>
      <c r="F206" s="344"/>
      <c r="G206" s="339"/>
      <c r="H206" s="26">
        <f t="shared" si="15"/>
        <v>0</v>
      </c>
      <c r="I206" s="28"/>
      <c r="J206" s="28"/>
      <c r="K206" s="28"/>
      <c r="L206" s="310"/>
    </row>
    <row r="207" spans="1:12" ht="92.25" hidden="1" customHeight="1" x14ac:dyDescent="0.3">
      <c r="A207" s="485"/>
      <c r="B207" s="488"/>
      <c r="C207" s="362"/>
      <c r="D207" s="62" t="s">
        <v>26</v>
      </c>
      <c r="E207" s="220" t="s">
        <v>53</v>
      </c>
      <c r="F207" s="344"/>
      <c r="G207" s="339"/>
      <c r="H207" s="26">
        <f t="shared" si="15"/>
        <v>0</v>
      </c>
      <c r="I207" s="28"/>
      <c r="J207" s="28"/>
      <c r="K207" s="28"/>
      <c r="L207" s="310"/>
    </row>
    <row r="208" spans="1:12" ht="92.25" customHeight="1" x14ac:dyDescent="0.3">
      <c r="A208" s="485"/>
      <c r="B208" s="488"/>
      <c r="C208" s="362"/>
      <c r="D208" s="62" t="s">
        <v>26</v>
      </c>
      <c r="E208" s="220" t="s">
        <v>51</v>
      </c>
      <c r="F208" s="344"/>
      <c r="G208" s="339"/>
      <c r="H208" s="26">
        <f t="shared" si="15"/>
        <v>8562.6</v>
      </c>
      <c r="I208" s="28"/>
      <c r="J208" s="28">
        <f>3500+58.8+5003.8</f>
        <v>8562.6</v>
      </c>
      <c r="K208" s="28"/>
      <c r="L208" s="310"/>
    </row>
    <row r="209" spans="1:12" ht="92.25" customHeight="1" x14ac:dyDescent="0.3">
      <c r="A209" s="485"/>
      <c r="B209" s="488"/>
      <c r="C209" s="362"/>
      <c r="D209" s="34" t="s">
        <v>26</v>
      </c>
      <c r="E209" s="244" t="s">
        <v>137</v>
      </c>
      <c r="F209" s="344"/>
      <c r="G209" s="339"/>
      <c r="H209" s="26">
        <f t="shared" si="15"/>
        <v>45500</v>
      </c>
      <c r="I209" s="28"/>
      <c r="J209" s="28">
        <f>22500+5000+25000-7000</f>
        <v>45500</v>
      </c>
      <c r="K209" s="28">
        <v>0</v>
      </c>
      <c r="L209" s="300"/>
    </row>
    <row r="210" spans="1:12" ht="92.25" hidden="1" customHeight="1" x14ac:dyDescent="0.3">
      <c r="A210" s="485"/>
      <c r="B210" s="488"/>
      <c r="C210" s="362"/>
      <c r="D210" s="62" t="s">
        <v>27</v>
      </c>
      <c r="E210" s="226" t="s">
        <v>55</v>
      </c>
      <c r="F210" s="344"/>
      <c r="G210" s="339"/>
      <c r="H210" s="26">
        <f t="shared" si="15"/>
        <v>0</v>
      </c>
      <c r="I210" s="28"/>
      <c r="J210" s="28"/>
      <c r="K210" s="28"/>
      <c r="L210" s="195"/>
    </row>
    <row r="211" spans="1:12" ht="92.25" hidden="1" customHeight="1" x14ac:dyDescent="0.3">
      <c r="A211" s="485"/>
      <c r="B211" s="488"/>
      <c r="C211" s="362"/>
      <c r="D211" s="241" t="s">
        <v>28</v>
      </c>
      <c r="E211" s="226" t="s">
        <v>54</v>
      </c>
      <c r="F211" s="344"/>
      <c r="G211" s="339"/>
      <c r="H211" s="26">
        <f t="shared" si="15"/>
        <v>0</v>
      </c>
      <c r="I211" s="33"/>
      <c r="J211" s="28"/>
      <c r="K211" s="28"/>
      <c r="L211" s="195"/>
    </row>
    <row r="212" spans="1:12" ht="55.5" hidden="1" customHeight="1" x14ac:dyDescent="0.3">
      <c r="A212" s="485"/>
      <c r="B212" s="488"/>
      <c r="C212" s="224"/>
      <c r="D212" s="35" t="s">
        <v>33</v>
      </c>
      <c r="E212" s="220" t="s">
        <v>56</v>
      </c>
      <c r="F212" s="344"/>
      <c r="G212" s="334"/>
      <c r="H212" s="26">
        <f t="shared" si="15"/>
        <v>0</v>
      </c>
      <c r="I212" s="33"/>
      <c r="J212" s="28"/>
      <c r="K212" s="28"/>
      <c r="L212" s="195"/>
    </row>
    <row r="213" spans="1:12" ht="55.5" customHeight="1" x14ac:dyDescent="0.3">
      <c r="A213" s="485"/>
      <c r="B213" s="488"/>
      <c r="C213" s="383" t="s">
        <v>439</v>
      </c>
      <c r="D213" s="301" t="s">
        <v>143</v>
      </c>
      <c r="E213" s="302"/>
      <c r="F213" s="302"/>
      <c r="G213" s="303"/>
      <c r="H213" s="26">
        <f>I213</f>
        <v>5300</v>
      </c>
      <c r="I213" s="33">
        <v>5300</v>
      </c>
      <c r="J213" s="28"/>
      <c r="K213" s="28"/>
      <c r="L213" s="490"/>
    </row>
    <row r="214" spans="1:12" ht="128.25" customHeight="1" x14ac:dyDescent="0.3">
      <c r="A214" s="485"/>
      <c r="B214" s="488"/>
      <c r="C214" s="383"/>
      <c r="D214" s="35" t="s">
        <v>29</v>
      </c>
      <c r="E214" s="220" t="s">
        <v>133</v>
      </c>
      <c r="F214" s="358" t="s">
        <v>132</v>
      </c>
      <c r="G214" s="333" t="s">
        <v>151</v>
      </c>
      <c r="H214" s="26">
        <f t="shared" ref="H214:H221" si="16">I214</f>
        <v>300</v>
      </c>
      <c r="I214" s="33">
        <v>300</v>
      </c>
      <c r="J214" s="28"/>
      <c r="K214" s="28"/>
      <c r="L214" s="490"/>
    </row>
    <row r="215" spans="1:12" ht="55.5" hidden="1" customHeight="1" x14ac:dyDescent="0.3">
      <c r="A215" s="485"/>
      <c r="B215" s="488"/>
      <c r="C215" s="383"/>
      <c r="D215" s="62" t="s">
        <v>26</v>
      </c>
      <c r="E215" s="220" t="s">
        <v>58</v>
      </c>
      <c r="F215" s="359"/>
      <c r="G215" s="339"/>
      <c r="H215" s="26">
        <f t="shared" si="16"/>
        <v>0</v>
      </c>
      <c r="I215" s="33">
        <v>0</v>
      </c>
      <c r="J215" s="28"/>
      <c r="K215" s="28"/>
      <c r="L215" s="490"/>
    </row>
    <row r="216" spans="1:12" ht="55.5" hidden="1" customHeight="1" x14ac:dyDescent="0.3">
      <c r="A216" s="485"/>
      <c r="B216" s="488"/>
      <c r="C216" s="383"/>
      <c r="D216" s="62" t="s">
        <v>26</v>
      </c>
      <c r="E216" s="220" t="s">
        <v>52</v>
      </c>
      <c r="F216" s="359"/>
      <c r="G216" s="339"/>
      <c r="H216" s="26">
        <f t="shared" si="16"/>
        <v>0</v>
      </c>
      <c r="I216" s="33">
        <v>0</v>
      </c>
      <c r="J216" s="28"/>
      <c r="K216" s="28"/>
      <c r="L216" s="490"/>
    </row>
    <row r="217" spans="1:12" ht="55.5" hidden="1" customHeight="1" x14ac:dyDescent="0.3">
      <c r="A217" s="485"/>
      <c r="B217" s="488"/>
      <c r="C217" s="383"/>
      <c r="D217" s="62" t="s">
        <v>26</v>
      </c>
      <c r="E217" s="220" t="s">
        <v>53</v>
      </c>
      <c r="F217" s="359"/>
      <c r="G217" s="339"/>
      <c r="H217" s="26">
        <f t="shared" si="16"/>
        <v>0</v>
      </c>
      <c r="I217" s="33">
        <v>0</v>
      </c>
      <c r="J217" s="28"/>
      <c r="K217" s="28"/>
      <c r="L217" s="490"/>
    </row>
    <row r="218" spans="1:12" ht="55.5" hidden="1" customHeight="1" x14ac:dyDescent="0.3">
      <c r="A218" s="485"/>
      <c r="B218" s="488"/>
      <c r="C218" s="383"/>
      <c r="D218" s="62" t="s">
        <v>26</v>
      </c>
      <c r="E218" s="220" t="s">
        <v>51</v>
      </c>
      <c r="F218" s="359"/>
      <c r="G218" s="339"/>
      <c r="H218" s="26">
        <f t="shared" si="16"/>
        <v>0</v>
      </c>
      <c r="I218" s="33">
        <v>0</v>
      </c>
      <c r="J218" s="28"/>
      <c r="K218" s="28"/>
      <c r="L218" s="490"/>
    </row>
    <row r="219" spans="1:12" ht="55.5" hidden="1" customHeight="1" x14ac:dyDescent="0.3">
      <c r="A219" s="485"/>
      <c r="B219" s="488"/>
      <c r="C219" s="383"/>
      <c r="D219" s="62" t="s">
        <v>26</v>
      </c>
      <c r="E219" s="244" t="s">
        <v>137</v>
      </c>
      <c r="F219" s="359"/>
      <c r="G219" s="339"/>
      <c r="H219" s="26">
        <f t="shared" si="16"/>
        <v>0</v>
      </c>
      <c r="I219" s="33">
        <v>0</v>
      </c>
      <c r="J219" s="28"/>
      <c r="K219" s="28"/>
      <c r="L219" s="490"/>
    </row>
    <row r="220" spans="1:12" ht="55.5" hidden="1" customHeight="1" x14ac:dyDescent="0.3">
      <c r="A220" s="485"/>
      <c r="B220" s="488"/>
      <c r="C220" s="383"/>
      <c r="D220" s="62" t="s">
        <v>27</v>
      </c>
      <c r="E220" s="226" t="s">
        <v>55</v>
      </c>
      <c r="F220" s="359"/>
      <c r="G220" s="339"/>
      <c r="H220" s="26">
        <f t="shared" si="16"/>
        <v>0</v>
      </c>
      <c r="I220" s="33">
        <v>0</v>
      </c>
      <c r="J220" s="28"/>
      <c r="K220" s="28"/>
      <c r="L220" s="490"/>
    </row>
    <row r="221" spans="1:12" ht="55.5" hidden="1" customHeight="1" x14ac:dyDescent="0.3">
      <c r="A221" s="485"/>
      <c r="B221" s="488"/>
      <c r="C221" s="383"/>
      <c r="D221" s="62" t="s">
        <v>28</v>
      </c>
      <c r="E221" s="226" t="s">
        <v>54</v>
      </c>
      <c r="F221" s="360"/>
      <c r="G221" s="334"/>
      <c r="H221" s="26">
        <f t="shared" si="16"/>
        <v>0</v>
      </c>
      <c r="I221" s="33">
        <v>0</v>
      </c>
      <c r="J221" s="28"/>
      <c r="K221" s="28"/>
      <c r="L221" s="490"/>
    </row>
    <row r="222" spans="1:12" ht="123.75" customHeight="1" x14ac:dyDescent="0.3">
      <c r="A222" s="485"/>
      <c r="B222" s="488"/>
      <c r="C222" s="383"/>
      <c r="D222" s="62" t="s">
        <v>353</v>
      </c>
      <c r="E222" s="220" t="s">
        <v>354</v>
      </c>
      <c r="F222" s="157" t="s">
        <v>354</v>
      </c>
      <c r="G222" s="240" t="s">
        <v>151</v>
      </c>
      <c r="H222" s="26">
        <f>I222</f>
        <v>5000</v>
      </c>
      <c r="I222" s="33">
        <v>5000</v>
      </c>
      <c r="J222" s="28"/>
      <c r="K222" s="28"/>
      <c r="L222" s="491"/>
    </row>
    <row r="223" spans="1:12" ht="75" customHeight="1" x14ac:dyDescent="0.3">
      <c r="A223" s="485"/>
      <c r="B223" s="488"/>
      <c r="C223" s="361" t="s">
        <v>501</v>
      </c>
      <c r="D223" s="301" t="s">
        <v>312</v>
      </c>
      <c r="E223" s="302"/>
      <c r="F223" s="302"/>
      <c r="G223" s="303"/>
      <c r="H223" s="26">
        <f>H224+H225+H226+H227+H228+H229+H230+H231+H235</f>
        <v>63632.9</v>
      </c>
      <c r="I223" s="26"/>
      <c r="J223" s="26">
        <f>J224+J225+J226+J227+J228+J229+J230+J231+J235</f>
        <v>35332.9</v>
      </c>
      <c r="K223" s="26">
        <f>K224+K225+K226+K227+K228+K229+K230+K231+K235</f>
        <v>28300</v>
      </c>
      <c r="L223" s="299" t="s">
        <v>360</v>
      </c>
    </row>
    <row r="224" spans="1:12" ht="75" customHeight="1" x14ac:dyDescent="0.3">
      <c r="A224" s="485"/>
      <c r="B224" s="488"/>
      <c r="C224" s="362"/>
      <c r="D224" s="35" t="s">
        <v>29</v>
      </c>
      <c r="E224" s="220" t="s">
        <v>133</v>
      </c>
      <c r="F224" s="358" t="s">
        <v>132</v>
      </c>
      <c r="G224" s="333" t="s">
        <v>151</v>
      </c>
      <c r="H224" s="26">
        <f t="shared" ref="H224:H235" si="17">I224+J224+K224</f>
        <v>300</v>
      </c>
      <c r="I224" s="28"/>
      <c r="J224" s="28">
        <v>0</v>
      </c>
      <c r="K224" s="28">
        <v>300</v>
      </c>
      <c r="L224" s="310"/>
    </row>
    <row r="225" spans="1:12" ht="75" customHeight="1" x14ac:dyDescent="0.3">
      <c r="A225" s="485"/>
      <c r="B225" s="488"/>
      <c r="C225" s="362"/>
      <c r="D225" s="62" t="s">
        <v>26</v>
      </c>
      <c r="E225" s="220" t="s">
        <v>58</v>
      </c>
      <c r="F225" s="359"/>
      <c r="G225" s="339"/>
      <c r="H225" s="26">
        <f t="shared" si="17"/>
        <v>8795.9</v>
      </c>
      <c r="I225" s="28"/>
      <c r="J225" s="28">
        <f>1495.9</f>
        <v>1495.9</v>
      </c>
      <c r="K225" s="28">
        <v>7300</v>
      </c>
      <c r="L225" s="310"/>
    </row>
    <row r="226" spans="1:12" ht="75" customHeight="1" x14ac:dyDescent="0.3">
      <c r="A226" s="485"/>
      <c r="B226" s="488"/>
      <c r="C226" s="362"/>
      <c r="D226" s="62" t="s">
        <v>26</v>
      </c>
      <c r="E226" s="220" t="s">
        <v>52</v>
      </c>
      <c r="F226" s="359"/>
      <c r="G226" s="339"/>
      <c r="H226" s="26">
        <f t="shared" si="17"/>
        <v>2000</v>
      </c>
      <c r="I226" s="28"/>
      <c r="J226" s="28">
        <v>0</v>
      </c>
      <c r="K226" s="28">
        <v>2000</v>
      </c>
      <c r="L226" s="310"/>
    </row>
    <row r="227" spans="1:12" ht="75" customHeight="1" x14ac:dyDescent="0.3">
      <c r="A227" s="485"/>
      <c r="B227" s="488"/>
      <c r="C227" s="362"/>
      <c r="D227" s="62" t="s">
        <v>26</v>
      </c>
      <c r="E227" s="220" t="s">
        <v>53</v>
      </c>
      <c r="F227" s="359"/>
      <c r="G227" s="339"/>
      <c r="H227" s="26">
        <f t="shared" si="17"/>
        <v>2600</v>
      </c>
      <c r="I227" s="28"/>
      <c r="J227" s="28">
        <v>0</v>
      </c>
      <c r="K227" s="28">
        <v>2600</v>
      </c>
      <c r="L227" s="310"/>
    </row>
    <row r="228" spans="1:12" ht="75" customHeight="1" x14ac:dyDescent="0.3">
      <c r="A228" s="485"/>
      <c r="B228" s="488"/>
      <c r="C228" s="362"/>
      <c r="D228" s="62" t="s">
        <v>26</v>
      </c>
      <c r="E228" s="220" t="s">
        <v>51</v>
      </c>
      <c r="F228" s="359"/>
      <c r="G228" s="339"/>
      <c r="H228" s="26">
        <f t="shared" si="17"/>
        <v>29665</v>
      </c>
      <c r="I228" s="28"/>
      <c r="J228" s="28">
        <f>32000+375-6710</f>
        <v>25665</v>
      </c>
      <c r="K228" s="28">
        <v>4000</v>
      </c>
      <c r="L228" s="310"/>
    </row>
    <row r="229" spans="1:12" ht="75" customHeight="1" x14ac:dyDescent="0.3">
      <c r="A229" s="485"/>
      <c r="B229" s="488"/>
      <c r="C229" s="362"/>
      <c r="D229" s="62" t="s">
        <v>26</v>
      </c>
      <c r="E229" s="244" t="s">
        <v>137</v>
      </c>
      <c r="F229" s="359"/>
      <c r="G229" s="339"/>
      <c r="H229" s="26">
        <f t="shared" si="17"/>
        <v>3000</v>
      </c>
      <c r="I229" s="33"/>
      <c r="J229" s="28">
        <v>0</v>
      </c>
      <c r="K229" s="28">
        <v>3000</v>
      </c>
      <c r="L229" s="310"/>
    </row>
    <row r="230" spans="1:12" ht="87.75" customHeight="1" x14ac:dyDescent="0.3">
      <c r="A230" s="485"/>
      <c r="B230" s="488"/>
      <c r="C230" s="362"/>
      <c r="D230" s="62" t="s">
        <v>27</v>
      </c>
      <c r="E230" s="226" t="s">
        <v>55</v>
      </c>
      <c r="F230" s="359"/>
      <c r="G230" s="339"/>
      <c r="H230" s="26">
        <f t="shared" si="17"/>
        <v>6600</v>
      </c>
      <c r="I230" s="28"/>
      <c r="J230" s="28">
        <v>0</v>
      </c>
      <c r="K230" s="28">
        <v>6600</v>
      </c>
      <c r="L230" s="310"/>
    </row>
    <row r="231" spans="1:12" ht="75" customHeight="1" x14ac:dyDescent="0.3">
      <c r="A231" s="485"/>
      <c r="B231" s="488"/>
      <c r="C231" s="362"/>
      <c r="D231" s="62" t="s">
        <v>28</v>
      </c>
      <c r="E231" s="226" t="s">
        <v>54</v>
      </c>
      <c r="F231" s="359"/>
      <c r="G231" s="339"/>
      <c r="H231" s="26">
        <f t="shared" si="17"/>
        <v>2500</v>
      </c>
      <c r="I231" s="33"/>
      <c r="J231" s="28">
        <v>0</v>
      </c>
      <c r="K231" s="28">
        <v>2500</v>
      </c>
      <c r="L231" s="310"/>
    </row>
    <row r="232" spans="1:12" ht="75" customHeight="1" x14ac:dyDescent="0.3">
      <c r="A232" s="485"/>
      <c r="B232" s="488"/>
      <c r="C232" s="362"/>
      <c r="D232" s="62" t="s">
        <v>33</v>
      </c>
      <c r="E232" s="220" t="s">
        <v>56</v>
      </c>
      <c r="F232" s="359"/>
      <c r="G232" s="339"/>
      <c r="H232" s="26">
        <f t="shared" si="17"/>
        <v>0</v>
      </c>
      <c r="I232" s="33"/>
      <c r="J232" s="28">
        <v>0</v>
      </c>
      <c r="K232" s="28">
        <v>0</v>
      </c>
      <c r="L232" s="232"/>
    </row>
    <row r="233" spans="1:12" ht="75" customHeight="1" x14ac:dyDescent="0.3">
      <c r="A233" s="485"/>
      <c r="B233" s="488"/>
      <c r="C233" s="362"/>
      <c r="D233" s="62" t="s">
        <v>33</v>
      </c>
      <c r="E233" s="220" t="s">
        <v>57</v>
      </c>
      <c r="F233" s="359"/>
      <c r="G233" s="334"/>
      <c r="H233" s="26">
        <f t="shared" si="17"/>
        <v>0</v>
      </c>
      <c r="I233" s="33"/>
      <c r="J233" s="28">
        <v>0</v>
      </c>
      <c r="K233" s="28">
        <v>0</v>
      </c>
      <c r="L233" s="232"/>
    </row>
    <row r="234" spans="1:12" ht="40.5" customHeight="1" x14ac:dyDescent="0.3">
      <c r="A234" s="485"/>
      <c r="B234" s="488"/>
      <c r="C234" s="362"/>
      <c r="D234" s="379" t="s">
        <v>68</v>
      </c>
      <c r="E234" s="380"/>
      <c r="F234" s="360"/>
      <c r="G234" s="223"/>
      <c r="H234" s="31">
        <f>H224+H225+H226+H227+H228+H229+H230+H231</f>
        <v>55460.9</v>
      </c>
      <c r="I234" s="31"/>
      <c r="J234" s="31">
        <f>J224+J225+J226+J227+J228+J229+J230+J231</f>
        <v>27160.9</v>
      </c>
      <c r="K234" s="31">
        <f>K224+K225+K226+K227+K228+K229+K230+K231</f>
        <v>28300</v>
      </c>
      <c r="L234" s="232"/>
    </row>
    <row r="235" spans="1:12" ht="154.5" customHeight="1" x14ac:dyDescent="0.3">
      <c r="A235" s="485"/>
      <c r="B235" s="488"/>
      <c r="C235" s="363"/>
      <c r="D235" s="62" t="s">
        <v>490</v>
      </c>
      <c r="E235" s="220" t="s">
        <v>61</v>
      </c>
      <c r="F235" s="157" t="s">
        <v>515</v>
      </c>
      <c r="G235" s="157" t="s">
        <v>151</v>
      </c>
      <c r="H235" s="31">
        <f t="shared" si="17"/>
        <v>8172</v>
      </c>
      <c r="I235" s="28"/>
      <c r="J235" s="29">
        <f>6972+1200</f>
        <v>8172</v>
      </c>
      <c r="K235" s="29">
        <v>0</v>
      </c>
      <c r="L235" s="246" t="s">
        <v>492</v>
      </c>
    </row>
    <row r="236" spans="1:12" ht="75" customHeight="1" x14ac:dyDescent="0.3">
      <c r="A236" s="485"/>
      <c r="B236" s="488"/>
      <c r="C236" s="361" t="s">
        <v>440</v>
      </c>
      <c r="D236" s="301" t="s">
        <v>319</v>
      </c>
      <c r="E236" s="302"/>
      <c r="F236" s="302"/>
      <c r="G236" s="303"/>
      <c r="H236" s="31">
        <f>SUM(H237:H239)</f>
        <v>16907.2</v>
      </c>
      <c r="I236" s="29">
        <f>SUM(I237:I239)</f>
        <v>16800</v>
      </c>
      <c r="J236" s="31">
        <f>SUM(J237:J239)</f>
        <v>107.2</v>
      </c>
      <c r="K236" s="31">
        <f>SUM(K237:K239)</f>
        <v>0</v>
      </c>
      <c r="L236" s="232"/>
    </row>
    <row r="237" spans="1:12" ht="294.75" customHeight="1" x14ac:dyDescent="0.3">
      <c r="A237" s="485"/>
      <c r="B237" s="488"/>
      <c r="C237" s="362"/>
      <c r="D237" s="30" t="s">
        <v>48</v>
      </c>
      <c r="E237" s="226" t="s">
        <v>51</v>
      </c>
      <c r="F237" s="358" t="s">
        <v>131</v>
      </c>
      <c r="G237" s="333" t="s">
        <v>151</v>
      </c>
      <c r="H237" s="31">
        <f>I237+J237+K237</f>
        <v>15807.2</v>
      </c>
      <c r="I237" s="29">
        <f>3100+12100+1600-1100</f>
        <v>15700</v>
      </c>
      <c r="J237" s="29">
        <v>107.2</v>
      </c>
      <c r="K237" s="29">
        <v>0</v>
      </c>
      <c r="L237" s="220" t="s">
        <v>206</v>
      </c>
    </row>
    <row r="238" spans="1:12" ht="92.25" hidden="1" customHeight="1" x14ac:dyDescent="0.3">
      <c r="A238" s="485"/>
      <c r="B238" s="488"/>
      <c r="C238" s="362"/>
      <c r="D238" s="30" t="s">
        <v>48</v>
      </c>
      <c r="E238" s="220" t="s">
        <v>58</v>
      </c>
      <c r="F238" s="359"/>
      <c r="G238" s="339"/>
      <c r="H238" s="26"/>
      <c r="I238" s="28"/>
      <c r="J238" s="28"/>
      <c r="K238" s="28"/>
      <c r="L238" s="220"/>
    </row>
    <row r="239" spans="1:12" ht="169.5" customHeight="1" x14ac:dyDescent="0.3">
      <c r="A239" s="485"/>
      <c r="B239" s="488"/>
      <c r="C239" s="363"/>
      <c r="D239" s="30" t="s">
        <v>48</v>
      </c>
      <c r="E239" s="226" t="s">
        <v>137</v>
      </c>
      <c r="F239" s="360"/>
      <c r="G239" s="334"/>
      <c r="H239" s="26">
        <f>I239+J239+K239</f>
        <v>1100</v>
      </c>
      <c r="I239" s="28">
        <v>1100</v>
      </c>
      <c r="J239" s="28">
        <v>0</v>
      </c>
      <c r="K239" s="28">
        <v>0</v>
      </c>
      <c r="L239" s="220" t="s">
        <v>309</v>
      </c>
    </row>
    <row r="240" spans="1:12" ht="49.5" customHeight="1" x14ac:dyDescent="0.3">
      <c r="A240" s="485"/>
      <c r="B240" s="488"/>
      <c r="C240" s="383" t="s">
        <v>441</v>
      </c>
      <c r="D240" s="301" t="s">
        <v>497</v>
      </c>
      <c r="E240" s="302"/>
      <c r="F240" s="302"/>
      <c r="G240" s="303"/>
      <c r="H240" s="26">
        <f>I240</f>
        <v>4498.92</v>
      </c>
      <c r="I240" s="28">
        <v>4498.92</v>
      </c>
      <c r="J240" s="28"/>
      <c r="K240" s="28"/>
      <c r="L240" s="226"/>
    </row>
    <row r="241" spans="1:12" ht="49.5" customHeight="1" x14ac:dyDescent="0.3">
      <c r="A241" s="485"/>
      <c r="B241" s="488"/>
      <c r="C241" s="383"/>
      <c r="D241" s="62" t="s">
        <v>26</v>
      </c>
      <c r="E241" s="228" t="s">
        <v>53</v>
      </c>
      <c r="F241" s="344" t="s">
        <v>131</v>
      </c>
      <c r="G241" s="342" t="s">
        <v>311</v>
      </c>
      <c r="H241" s="26">
        <f t="shared" ref="H241:H246" si="18">I241</f>
        <v>612.24</v>
      </c>
      <c r="I241" s="28">
        <v>612.24</v>
      </c>
      <c r="J241" s="28"/>
      <c r="K241" s="28"/>
      <c r="L241" s="299" t="s">
        <v>401</v>
      </c>
    </row>
    <row r="242" spans="1:12" ht="71.25" customHeight="1" x14ac:dyDescent="0.3">
      <c r="A242" s="485"/>
      <c r="B242" s="488"/>
      <c r="C242" s="383"/>
      <c r="D242" s="62" t="s">
        <v>26</v>
      </c>
      <c r="E242" s="220" t="s">
        <v>51</v>
      </c>
      <c r="F242" s="344"/>
      <c r="G242" s="342"/>
      <c r="H242" s="26">
        <f t="shared" si="18"/>
        <v>612.24</v>
      </c>
      <c r="I242" s="28">
        <v>612.24</v>
      </c>
      <c r="J242" s="28"/>
      <c r="K242" s="28"/>
      <c r="L242" s="310"/>
    </row>
    <row r="243" spans="1:12" ht="178.5" customHeight="1" x14ac:dyDescent="0.3">
      <c r="A243" s="485"/>
      <c r="B243" s="488"/>
      <c r="C243" s="383"/>
      <c r="D243" s="62" t="s">
        <v>26</v>
      </c>
      <c r="E243" s="244" t="s">
        <v>137</v>
      </c>
      <c r="F243" s="344"/>
      <c r="G243" s="342"/>
      <c r="H243" s="26">
        <f t="shared" si="18"/>
        <v>612.24</v>
      </c>
      <c r="I243" s="28">
        <v>612.24</v>
      </c>
      <c r="J243" s="28"/>
      <c r="K243" s="28"/>
      <c r="L243" s="310"/>
    </row>
    <row r="244" spans="1:12" ht="49.5" customHeight="1" x14ac:dyDescent="0.3">
      <c r="A244" s="485"/>
      <c r="B244" s="488"/>
      <c r="C244" s="383"/>
      <c r="D244" s="62" t="s">
        <v>26</v>
      </c>
      <c r="E244" s="228" t="s">
        <v>53</v>
      </c>
      <c r="F244" s="344" t="s">
        <v>131</v>
      </c>
      <c r="G244" s="342" t="s">
        <v>151</v>
      </c>
      <c r="H244" s="26">
        <f t="shared" si="18"/>
        <v>1929.6</v>
      </c>
      <c r="I244" s="28">
        <v>1929.6</v>
      </c>
      <c r="J244" s="28"/>
      <c r="K244" s="28"/>
      <c r="L244" s="310"/>
    </row>
    <row r="245" spans="1:12" ht="72.75" customHeight="1" x14ac:dyDescent="0.3">
      <c r="A245" s="485"/>
      <c r="B245" s="488"/>
      <c r="C245" s="383"/>
      <c r="D245" s="62" t="s">
        <v>26</v>
      </c>
      <c r="E245" s="220" t="s">
        <v>51</v>
      </c>
      <c r="F245" s="344"/>
      <c r="G245" s="342"/>
      <c r="H245" s="26">
        <f t="shared" si="18"/>
        <v>51.3</v>
      </c>
      <c r="I245" s="28">
        <v>51.3</v>
      </c>
      <c r="J245" s="28"/>
      <c r="K245" s="28"/>
      <c r="L245" s="310"/>
    </row>
    <row r="246" spans="1:12" ht="72.75" customHeight="1" x14ac:dyDescent="0.3">
      <c r="A246" s="485"/>
      <c r="B246" s="488"/>
      <c r="C246" s="383"/>
      <c r="D246" s="62" t="s">
        <v>26</v>
      </c>
      <c r="E246" s="244" t="s">
        <v>137</v>
      </c>
      <c r="F246" s="344"/>
      <c r="G246" s="342"/>
      <c r="H246" s="26">
        <f t="shared" si="18"/>
        <v>681.3</v>
      </c>
      <c r="I246" s="28">
        <v>681.3</v>
      </c>
      <c r="J246" s="28"/>
      <c r="K246" s="28"/>
      <c r="L246" s="300"/>
    </row>
    <row r="247" spans="1:12" ht="69.75" customHeight="1" x14ac:dyDescent="0.3">
      <c r="A247" s="485"/>
      <c r="B247" s="488"/>
      <c r="C247" s="361" t="s">
        <v>442</v>
      </c>
      <c r="D247" s="301" t="s">
        <v>496</v>
      </c>
      <c r="E247" s="302"/>
      <c r="F247" s="302"/>
      <c r="G247" s="303"/>
      <c r="H247" s="64">
        <f>SUM(H248:H253)</f>
        <v>1194.9000000000001</v>
      </c>
      <c r="I247" s="64"/>
      <c r="J247" s="64">
        <f>SUM(J248:J253)</f>
        <v>1194.9000000000001</v>
      </c>
      <c r="K247" s="64">
        <f>SUM(K248:K253)</f>
        <v>0</v>
      </c>
      <c r="L247" s="407" t="s">
        <v>370</v>
      </c>
    </row>
    <row r="248" spans="1:12" ht="87" hidden="1" customHeight="1" x14ac:dyDescent="0.3">
      <c r="A248" s="485"/>
      <c r="B248" s="488"/>
      <c r="C248" s="362"/>
      <c r="D248" s="62" t="s">
        <v>26</v>
      </c>
      <c r="E248" s="228" t="s">
        <v>53</v>
      </c>
      <c r="F248" s="358" t="s">
        <v>131</v>
      </c>
      <c r="G248" s="333" t="s">
        <v>311</v>
      </c>
      <c r="H248" s="63">
        <f t="shared" ref="H248:H263" si="19">I248+J248+K248</f>
        <v>0</v>
      </c>
      <c r="I248" s="64"/>
      <c r="J248" s="28">
        <v>0</v>
      </c>
      <c r="K248" s="28">
        <v>0</v>
      </c>
      <c r="L248" s="408"/>
    </row>
    <row r="249" spans="1:12" ht="99.75" hidden="1" customHeight="1" x14ac:dyDescent="0.3">
      <c r="A249" s="485"/>
      <c r="B249" s="488"/>
      <c r="C249" s="362"/>
      <c r="D249" s="62" t="s">
        <v>26</v>
      </c>
      <c r="E249" s="220" t="s">
        <v>51</v>
      </c>
      <c r="F249" s="359"/>
      <c r="G249" s="339"/>
      <c r="H249" s="63">
        <f t="shared" si="19"/>
        <v>0</v>
      </c>
      <c r="I249" s="64"/>
      <c r="J249" s="28">
        <v>0</v>
      </c>
      <c r="K249" s="28">
        <v>0</v>
      </c>
      <c r="L249" s="408"/>
    </row>
    <row r="250" spans="1:12" ht="99" hidden="1" customHeight="1" x14ac:dyDescent="0.3">
      <c r="A250" s="485"/>
      <c r="B250" s="488"/>
      <c r="C250" s="362"/>
      <c r="D250" s="62" t="s">
        <v>26</v>
      </c>
      <c r="E250" s="244" t="s">
        <v>137</v>
      </c>
      <c r="F250" s="360"/>
      <c r="G250" s="334"/>
      <c r="H250" s="63">
        <f t="shared" si="19"/>
        <v>0</v>
      </c>
      <c r="I250" s="64"/>
      <c r="J250" s="28">
        <v>0</v>
      </c>
      <c r="K250" s="28">
        <v>0</v>
      </c>
      <c r="L250" s="408"/>
    </row>
    <row r="251" spans="1:12" ht="99" hidden="1" customHeight="1" x14ac:dyDescent="0.3">
      <c r="A251" s="485"/>
      <c r="B251" s="488"/>
      <c r="C251" s="362"/>
      <c r="D251" s="62" t="s">
        <v>26</v>
      </c>
      <c r="E251" s="228" t="s">
        <v>53</v>
      </c>
      <c r="F251" s="358" t="s">
        <v>131</v>
      </c>
      <c r="G251" s="333" t="s">
        <v>151</v>
      </c>
      <c r="H251" s="63">
        <f t="shared" si="19"/>
        <v>0</v>
      </c>
      <c r="I251" s="28"/>
      <c r="J251" s="28">
        <v>0</v>
      </c>
      <c r="K251" s="28">
        <v>0</v>
      </c>
      <c r="L251" s="408"/>
    </row>
    <row r="252" spans="1:12" ht="99" hidden="1" customHeight="1" x14ac:dyDescent="0.3">
      <c r="A252" s="485"/>
      <c r="B252" s="488"/>
      <c r="C252" s="362"/>
      <c r="D252" s="62" t="s">
        <v>26</v>
      </c>
      <c r="E252" s="220" t="s">
        <v>51</v>
      </c>
      <c r="F252" s="359"/>
      <c r="G252" s="339"/>
      <c r="H252" s="63">
        <f t="shared" si="19"/>
        <v>0</v>
      </c>
      <c r="I252" s="64"/>
      <c r="J252" s="28">
        <v>0</v>
      </c>
      <c r="K252" s="28">
        <v>0</v>
      </c>
      <c r="L252" s="408"/>
    </row>
    <row r="253" spans="1:12" ht="156" customHeight="1" x14ac:dyDescent="0.3">
      <c r="A253" s="485"/>
      <c r="B253" s="488"/>
      <c r="C253" s="363"/>
      <c r="D253" s="62" t="s">
        <v>26</v>
      </c>
      <c r="E253" s="244" t="s">
        <v>137</v>
      </c>
      <c r="F253" s="360"/>
      <c r="G253" s="334"/>
      <c r="H253" s="63">
        <f t="shared" si="19"/>
        <v>1194.9000000000001</v>
      </c>
      <c r="I253" s="28"/>
      <c r="J253" s="28">
        <f>590.2+604.7</f>
        <v>1194.9000000000001</v>
      </c>
      <c r="K253" s="28">
        <v>0</v>
      </c>
      <c r="L253" s="409"/>
    </row>
    <row r="254" spans="1:12" ht="56.25" customHeight="1" x14ac:dyDescent="0.3">
      <c r="A254" s="485"/>
      <c r="B254" s="488"/>
      <c r="C254" s="361" t="s">
        <v>443</v>
      </c>
      <c r="D254" s="301" t="s">
        <v>495</v>
      </c>
      <c r="E254" s="302"/>
      <c r="F254" s="302"/>
      <c r="G254" s="303"/>
      <c r="H254" s="63">
        <f>I254</f>
        <v>360</v>
      </c>
      <c r="I254" s="28">
        <v>360</v>
      </c>
      <c r="J254" s="28"/>
      <c r="K254" s="28"/>
      <c r="L254" s="299" t="s">
        <v>402</v>
      </c>
    </row>
    <row r="255" spans="1:12" ht="70.5" hidden="1" customHeight="1" x14ac:dyDescent="0.3">
      <c r="A255" s="485"/>
      <c r="B255" s="488"/>
      <c r="C255" s="362"/>
      <c r="D255" s="62" t="s">
        <v>26</v>
      </c>
      <c r="E255" s="220" t="s">
        <v>58</v>
      </c>
      <c r="F255" s="358" t="s">
        <v>131</v>
      </c>
      <c r="G255" s="333" t="s">
        <v>151</v>
      </c>
      <c r="H255" s="63">
        <f>I255</f>
        <v>0</v>
      </c>
      <c r="I255" s="28">
        <v>0</v>
      </c>
      <c r="J255" s="28"/>
      <c r="K255" s="28"/>
      <c r="L255" s="310"/>
    </row>
    <row r="256" spans="1:12" ht="71.25" hidden="1" customHeight="1" x14ac:dyDescent="0.3">
      <c r="A256" s="485"/>
      <c r="B256" s="488"/>
      <c r="C256" s="362"/>
      <c r="D256" s="62" t="s">
        <v>26</v>
      </c>
      <c r="E256" s="220" t="s">
        <v>53</v>
      </c>
      <c r="F256" s="359"/>
      <c r="G256" s="339"/>
      <c r="H256" s="63">
        <f>I256</f>
        <v>0</v>
      </c>
      <c r="I256" s="28">
        <v>0</v>
      </c>
      <c r="J256" s="28"/>
      <c r="K256" s="28"/>
      <c r="L256" s="310"/>
    </row>
    <row r="257" spans="1:13" ht="66.75" customHeight="1" x14ac:dyDescent="0.3">
      <c r="A257" s="485"/>
      <c r="B257" s="488"/>
      <c r="C257" s="362"/>
      <c r="D257" s="62" t="s">
        <v>26</v>
      </c>
      <c r="E257" s="220" t="s">
        <v>51</v>
      </c>
      <c r="F257" s="359"/>
      <c r="G257" s="339"/>
      <c r="H257" s="63">
        <f>I257</f>
        <v>360</v>
      </c>
      <c r="I257" s="28">
        <v>360</v>
      </c>
      <c r="J257" s="28"/>
      <c r="K257" s="28"/>
      <c r="L257" s="310"/>
    </row>
    <row r="258" spans="1:13" ht="72.75" hidden="1" customHeight="1" x14ac:dyDescent="0.3">
      <c r="A258" s="485"/>
      <c r="B258" s="488"/>
      <c r="C258" s="363"/>
      <c r="D258" s="62" t="s">
        <v>26</v>
      </c>
      <c r="E258" s="244" t="s">
        <v>137</v>
      </c>
      <c r="F258" s="360"/>
      <c r="G258" s="334"/>
      <c r="H258" s="63">
        <f>I258</f>
        <v>0</v>
      </c>
      <c r="I258" s="28">
        <v>0</v>
      </c>
      <c r="J258" s="28"/>
      <c r="K258" s="28"/>
      <c r="L258" s="300"/>
    </row>
    <row r="259" spans="1:13" ht="71.25" customHeight="1" x14ac:dyDescent="0.3">
      <c r="A259" s="485"/>
      <c r="B259" s="488"/>
      <c r="C259" s="361" t="s">
        <v>493</v>
      </c>
      <c r="D259" s="301" t="s">
        <v>494</v>
      </c>
      <c r="E259" s="302"/>
      <c r="F259" s="302"/>
      <c r="G259" s="303"/>
      <c r="H259" s="63">
        <f>I259+J259+K259</f>
        <v>57121</v>
      </c>
      <c r="I259" s="28"/>
      <c r="J259" s="26">
        <f>J260+J261+J262+J263+J264+J265+J266+J267+J268+J270</f>
        <v>57121</v>
      </c>
      <c r="K259" s="28">
        <f>K260+K261+K262+K263+K264+K265+K266+K267+K268+K270</f>
        <v>0</v>
      </c>
      <c r="L259" s="299" t="s">
        <v>361</v>
      </c>
    </row>
    <row r="260" spans="1:13" ht="63.75" customHeight="1" x14ac:dyDescent="0.3">
      <c r="A260" s="485"/>
      <c r="B260" s="488"/>
      <c r="C260" s="362"/>
      <c r="D260" s="62" t="s">
        <v>26</v>
      </c>
      <c r="E260" s="220" t="s">
        <v>58</v>
      </c>
      <c r="F260" s="358" t="s">
        <v>131</v>
      </c>
      <c r="G260" s="333" t="s">
        <v>151</v>
      </c>
      <c r="H260" s="63">
        <f t="shared" si="19"/>
        <v>13334.6</v>
      </c>
      <c r="I260" s="28"/>
      <c r="J260" s="28">
        <v>13334.6</v>
      </c>
      <c r="K260" s="28">
        <v>0</v>
      </c>
      <c r="L260" s="310"/>
    </row>
    <row r="261" spans="1:13" ht="58.5" hidden="1" customHeight="1" x14ac:dyDescent="0.3">
      <c r="A261" s="485"/>
      <c r="B261" s="488"/>
      <c r="C261" s="362"/>
      <c r="D261" s="62" t="s">
        <v>26</v>
      </c>
      <c r="E261" s="220" t="s">
        <v>52</v>
      </c>
      <c r="F261" s="359"/>
      <c r="G261" s="339"/>
      <c r="H261" s="63">
        <f t="shared" si="19"/>
        <v>0</v>
      </c>
      <c r="I261" s="28"/>
      <c r="J261" s="28">
        <v>0</v>
      </c>
      <c r="K261" s="28">
        <v>0</v>
      </c>
      <c r="L261" s="310"/>
    </row>
    <row r="262" spans="1:13" ht="58.5" customHeight="1" x14ac:dyDescent="0.3">
      <c r="A262" s="485"/>
      <c r="B262" s="488"/>
      <c r="C262" s="362"/>
      <c r="D262" s="62" t="s">
        <v>26</v>
      </c>
      <c r="E262" s="220" t="s">
        <v>53</v>
      </c>
      <c r="F262" s="359"/>
      <c r="G262" s="339"/>
      <c r="H262" s="63">
        <f t="shared" si="19"/>
        <v>6394.6</v>
      </c>
      <c r="I262" s="28"/>
      <c r="J262" s="28">
        <v>6394.6</v>
      </c>
      <c r="K262" s="28">
        <v>0</v>
      </c>
      <c r="L262" s="310"/>
    </row>
    <row r="263" spans="1:13" ht="69" customHeight="1" x14ac:dyDescent="0.3">
      <c r="A263" s="485"/>
      <c r="B263" s="488"/>
      <c r="C263" s="362"/>
      <c r="D263" s="62" t="s">
        <v>26</v>
      </c>
      <c r="E263" s="220" t="s">
        <v>51</v>
      </c>
      <c r="F263" s="359"/>
      <c r="G263" s="339"/>
      <c r="H263" s="63">
        <f t="shared" si="19"/>
        <v>18830.5</v>
      </c>
      <c r="I263" s="28"/>
      <c r="J263" s="28">
        <f>8342.2+9354.2+375+759.1</f>
        <v>18830.5</v>
      </c>
      <c r="K263" s="28">
        <v>0</v>
      </c>
      <c r="L263" s="310"/>
    </row>
    <row r="264" spans="1:13" ht="66" customHeight="1" x14ac:dyDescent="0.4">
      <c r="A264" s="485"/>
      <c r="B264" s="488"/>
      <c r="C264" s="362"/>
      <c r="D264" s="62" t="s">
        <v>26</v>
      </c>
      <c r="E264" s="244" t="s">
        <v>137</v>
      </c>
      <c r="F264" s="359"/>
      <c r="G264" s="339"/>
      <c r="H264" s="63">
        <f>I264+J264+K264</f>
        <v>7120</v>
      </c>
      <c r="I264" s="28"/>
      <c r="J264" s="28">
        <v>7120</v>
      </c>
      <c r="K264" s="28">
        <v>0</v>
      </c>
      <c r="L264" s="310"/>
      <c r="M264" s="94"/>
    </row>
    <row r="265" spans="1:13" ht="96.75" hidden="1" customHeight="1" x14ac:dyDescent="0.3">
      <c r="A265" s="485"/>
      <c r="B265" s="488"/>
      <c r="C265" s="362"/>
      <c r="D265" s="62" t="s">
        <v>27</v>
      </c>
      <c r="E265" s="226" t="s">
        <v>55</v>
      </c>
      <c r="F265" s="359"/>
      <c r="G265" s="339"/>
      <c r="H265" s="63">
        <f t="shared" ref="H265:H270" si="20">I265+J265+K265</f>
        <v>0</v>
      </c>
      <c r="I265" s="28"/>
      <c r="J265" s="28">
        <v>0</v>
      </c>
      <c r="K265" s="28">
        <v>0</v>
      </c>
      <c r="L265" s="310"/>
    </row>
    <row r="266" spans="1:13" ht="63.75" customHeight="1" x14ac:dyDescent="0.3">
      <c r="A266" s="485"/>
      <c r="B266" s="488"/>
      <c r="C266" s="362"/>
      <c r="D266" s="62" t="s">
        <v>28</v>
      </c>
      <c r="E266" s="226" t="s">
        <v>54</v>
      </c>
      <c r="F266" s="359"/>
      <c r="G266" s="339"/>
      <c r="H266" s="63">
        <f t="shared" si="20"/>
        <v>200</v>
      </c>
      <c r="I266" s="28"/>
      <c r="J266" s="28">
        <v>200</v>
      </c>
      <c r="K266" s="28">
        <v>0</v>
      </c>
      <c r="L266" s="310"/>
    </row>
    <row r="267" spans="1:13" ht="69.75" customHeight="1" x14ac:dyDescent="0.3">
      <c r="A267" s="485"/>
      <c r="B267" s="488"/>
      <c r="C267" s="362"/>
      <c r="D267" s="62" t="s">
        <v>33</v>
      </c>
      <c r="E267" s="220" t="s">
        <v>56</v>
      </c>
      <c r="F267" s="359"/>
      <c r="G267" s="339"/>
      <c r="H267" s="63">
        <f t="shared" si="20"/>
        <v>8841.2999999999993</v>
      </c>
      <c r="I267" s="28"/>
      <c r="J267" s="28">
        <f>8841.3</f>
        <v>8841.2999999999993</v>
      </c>
      <c r="K267" s="28">
        <v>0</v>
      </c>
      <c r="L267" s="310"/>
    </row>
    <row r="268" spans="1:13" ht="57" hidden="1" customHeight="1" x14ac:dyDescent="0.3">
      <c r="A268" s="485"/>
      <c r="B268" s="488"/>
      <c r="C268" s="363"/>
      <c r="D268" s="62" t="s">
        <v>33</v>
      </c>
      <c r="E268" s="220" t="s">
        <v>57</v>
      </c>
      <c r="F268" s="359"/>
      <c r="G268" s="339"/>
      <c r="H268" s="63">
        <f t="shared" si="20"/>
        <v>0</v>
      </c>
      <c r="I268" s="28"/>
      <c r="J268" s="28">
        <v>0</v>
      </c>
      <c r="K268" s="28">
        <v>0</v>
      </c>
      <c r="L268" s="300"/>
    </row>
    <row r="269" spans="1:13" ht="45.75" customHeight="1" x14ac:dyDescent="0.3">
      <c r="A269" s="485"/>
      <c r="B269" s="488"/>
      <c r="C269" s="225"/>
      <c r="D269" s="379" t="s">
        <v>68</v>
      </c>
      <c r="E269" s="380"/>
      <c r="F269" s="360"/>
      <c r="G269" s="339"/>
      <c r="H269" s="26">
        <f t="shared" ref="H269" si="21">H260+H262+H263+H264+H267+H266</f>
        <v>54721</v>
      </c>
      <c r="I269" s="26"/>
      <c r="J269" s="26">
        <f>J260+J262+J263+J264+J267+J266</f>
        <v>54721</v>
      </c>
      <c r="K269" s="26">
        <f>K260+K262+K263+K264+K267+K266</f>
        <v>0</v>
      </c>
      <c r="L269" s="228"/>
    </row>
    <row r="270" spans="1:13" ht="159.75" customHeight="1" x14ac:dyDescent="0.3">
      <c r="A270" s="486"/>
      <c r="B270" s="489"/>
      <c r="C270" s="225"/>
      <c r="D270" s="62" t="s">
        <v>490</v>
      </c>
      <c r="E270" s="220" t="s">
        <v>61</v>
      </c>
      <c r="F270" s="219" t="s">
        <v>515</v>
      </c>
      <c r="G270" s="334"/>
      <c r="H270" s="63">
        <f t="shared" si="20"/>
        <v>2400</v>
      </c>
      <c r="I270" s="28"/>
      <c r="J270" s="28">
        <f>400+2000</f>
        <v>2400</v>
      </c>
      <c r="K270" s="28"/>
      <c r="L270" s="220" t="s">
        <v>491</v>
      </c>
    </row>
    <row r="271" spans="1:13" ht="75" customHeight="1" x14ac:dyDescent="0.3">
      <c r="A271" s="351" t="s">
        <v>50</v>
      </c>
      <c r="B271" s="351"/>
      <c r="C271" s="351"/>
      <c r="D271" s="351"/>
      <c r="E271" s="351"/>
      <c r="F271" s="351"/>
      <c r="G271" s="351"/>
      <c r="H271" s="26">
        <f>H196+H201+H213+H223+H236+H240+H247+H254+H259</f>
        <v>475117.12000000005</v>
      </c>
      <c r="I271" s="26">
        <f>I196+I213+I236+I240+I254</f>
        <v>107551.92</v>
      </c>
      <c r="J271" s="26">
        <f>J201+J223+J236+J247+J259</f>
        <v>259265.2</v>
      </c>
      <c r="K271" s="26">
        <f>K201+K223+K236+K247+K259</f>
        <v>108300</v>
      </c>
      <c r="L271" s="381"/>
    </row>
    <row r="272" spans="1:13" ht="75" customHeight="1" x14ac:dyDescent="0.3">
      <c r="A272" s="418" t="s">
        <v>159</v>
      </c>
      <c r="B272" s="418"/>
      <c r="C272" s="418"/>
      <c r="D272" s="418"/>
      <c r="E272" s="418"/>
      <c r="F272" s="419"/>
      <c r="G272" s="256" t="s">
        <v>151</v>
      </c>
      <c r="H272" s="26">
        <f>H196+H201+H213+H223+H236+H244+H245+H246+H251+H252+H253+H254+H259</f>
        <v>473280.4</v>
      </c>
      <c r="I272" s="26">
        <f>I196+I201+I213+I223+I236+I244+I245+I246+I251+I252+I253+I254+I259</f>
        <v>105715.20000000001</v>
      </c>
      <c r="J272" s="26">
        <f>J196+J201+J213+J223+J236+J244+J245+J246+J251+J252+J253+J254+J259</f>
        <v>259265.2</v>
      </c>
      <c r="K272" s="26">
        <f>K196+K201+K213+K223+K236+K244+K245+K246+K251+K252+K253+K254+K259</f>
        <v>108300</v>
      </c>
      <c r="L272" s="381"/>
    </row>
    <row r="273" spans="1:12" ht="303" customHeight="1" x14ac:dyDescent="0.3">
      <c r="A273" s="104"/>
      <c r="B273" s="104"/>
      <c r="C273" s="104"/>
      <c r="D273" s="104"/>
      <c r="E273" s="104"/>
      <c r="F273" s="197"/>
      <c r="G273" s="256" t="s">
        <v>311</v>
      </c>
      <c r="H273" s="26">
        <f>H241+H242++H243</f>
        <v>1836.72</v>
      </c>
      <c r="I273" s="26">
        <f>I241+I242+I243</f>
        <v>1836.72</v>
      </c>
      <c r="J273" s="26">
        <v>0</v>
      </c>
      <c r="K273" s="26">
        <v>0</v>
      </c>
      <c r="L273" s="381"/>
    </row>
    <row r="274" spans="1:12" ht="75" customHeight="1" x14ac:dyDescent="0.3">
      <c r="A274" s="384" t="s">
        <v>158</v>
      </c>
      <c r="B274" s="385"/>
      <c r="C274" s="385"/>
      <c r="D274" s="386"/>
      <c r="E274" s="231" t="s">
        <v>58</v>
      </c>
      <c r="F274" s="292"/>
      <c r="G274" s="256" t="s">
        <v>151</v>
      </c>
      <c r="H274" s="27">
        <f>H199+H225+H255+H260</f>
        <v>40630.5</v>
      </c>
      <c r="I274" s="27">
        <f>I199+I225+I255+I260</f>
        <v>18500</v>
      </c>
      <c r="J274" s="27">
        <f>J199+J225+J255+J260</f>
        <v>14830.5</v>
      </c>
      <c r="K274" s="27">
        <f>K199+K225+K255+K260</f>
        <v>7300</v>
      </c>
      <c r="L274" s="381"/>
    </row>
    <row r="275" spans="1:12" ht="75" customHeight="1" x14ac:dyDescent="0.3">
      <c r="A275" s="387"/>
      <c r="B275" s="388"/>
      <c r="C275" s="388"/>
      <c r="D275" s="389"/>
      <c r="E275" s="220" t="s">
        <v>52</v>
      </c>
      <c r="F275" s="293"/>
      <c r="G275" s="252" t="s">
        <v>151</v>
      </c>
      <c r="H275" s="27">
        <f>H226</f>
        <v>2000</v>
      </c>
      <c r="I275" s="27">
        <f>I226</f>
        <v>0</v>
      </c>
      <c r="J275" s="27">
        <f>J226</f>
        <v>0</v>
      </c>
      <c r="K275" s="27">
        <f>K226</f>
        <v>2000</v>
      </c>
      <c r="L275" s="381"/>
    </row>
    <row r="276" spans="1:12" ht="75" customHeight="1" x14ac:dyDescent="0.3">
      <c r="A276" s="387"/>
      <c r="B276" s="388"/>
      <c r="C276" s="388"/>
      <c r="D276" s="389"/>
      <c r="E276" s="299" t="s">
        <v>53</v>
      </c>
      <c r="F276" s="293"/>
      <c r="G276" s="252" t="s">
        <v>151</v>
      </c>
      <c r="H276" s="27">
        <f>H227+H244+H262</f>
        <v>10924.2</v>
      </c>
      <c r="I276" s="27">
        <f>I244</f>
        <v>1929.6</v>
      </c>
      <c r="J276" s="27">
        <f>J262</f>
        <v>6394.6</v>
      </c>
      <c r="K276" s="27">
        <f>K227</f>
        <v>2600</v>
      </c>
      <c r="L276" s="381"/>
    </row>
    <row r="277" spans="1:12" ht="309.75" customHeight="1" x14ac:dyDescent="0.3">
      <c r="A277" s="387"/>
      <c r="B277" s="388"/>
      <c r="C277" s="388"/>
      <c r="D277" s="389"/>
      <c r="E277" s="300"/>
      <c r="F277" s="293"/>
      <c r="G277" s="256" t="s">
        <v>311</v>
      </c>
      <c r="H277" s="27">
        <f>H241</f>
        <v>612.24</v>
      </c>
      <c r="I277" s="27">
        <f>I241</f>
        <v>612.24</v>
      </c>
      <c r="J277" s="27">
        <f>J241</f>
        <v>0</v>
      </c>
      <c r="K277" s="27">
        <f>K241</f>
        <v>0</v>
      </c>
      <c r="L277" s="381"/>
    </row>
    <row r="278" spans="1:12" ht="75" customHeight="1" x14ac:dyDescent="0.3">
      <c r="A278" s="387"/>
      <c r="B278" s="388"/>
      <c r="C278" s="388"/>
      <c r="D278" s="389"/>
      <c r="E278" s="299" t="s">
        <v>51</v>
      </c>
      <c r="F278" s="293"/>
      <c r="G278" s="252" t="s">
        <v>151</v>
      </c>
      <c r="H278" s="27">
        <f>H228+H237+H245+H252+H257+H263+H208</f>
        <v>73276.600000000006</v>
      </c>
      <c r="I278" s="27">
        <f>I228+I237+I245+I252+I257+I263</f>
        <v>16111.3</v>
      </c>
      <c r="J278" s="27">
        <f>J228+J237+J245+J252+J257+J263+J208</f>
        <v>53165.299999999996</v>
      </c>
      <c r="K278" s="27">
        <f>K228+K237+K245+K252+K257+K263</f>
        <v>4000</v>
      </c>
      <c r="L278" s="381"/>
    </row>
    <row r="279" spans="1:12" ht="319.5" customHeight="1" x14ac:dyDescent="0.3">
      <c r="A279" s="387"/>
      <c r="B279" s="388"/>
      <c r="C279" s="388"/>
      <c r="D279" s="389"/>
      <c r="E279" s="300"/>
      <c r="F279" s="293"/>
      <c r="G279" s="256" t="s">
        <v>311</v>
      </c>
      <c r="H279" s="27">
        <f>H242</f>
        <v>612.24</v>
      </c>
      <c r="I279" s="27">
        <f>I242</f>
        <v>612.24</v>
      </c>
      <c r="J279" s="27">
        <f>J242</f>
        <v>0</v>
      </c>
      <c r="K279" s="27">
        <f>K242</f>
        <v>0</v>
      </c>
      <c r="L279" s="381"/>
    </row>
    <row r="280" spans="1:12" ht="90.75" customHeight="1" x14ac:dyDescent="0.3">
      <c r="A280" s="387"/>
      <c r="B280" s="388"/>
      <c r="C280" s="388"/>
      <c r="D280" s="389"/>
      <c r="E280" s="299" t="s">
        <v>137</v>
      </c>
      <c r="F280" s="293"/>
      <c r="G280" s="252" t="s">
        <v>151</v>
      </c>
      <c r="H280" s="27">
        <f>H200+H209+H229+H239+H246+H253+H264</f>
        <v>90096.2</v>
      </c>
      <c r="I280" s="27">
        <f>I200+I209+I229+I239+I246+I253+I264</f>
        <v>33281.300000000003</v>
      </c>
      <c r="J280" s="27">
        <f>J200+J209+J229+J239+J246+J253+J264</f>
        <v>53814.9</v>
      </c>
      <c r="K280" s="27">
        <f>K200+K209+K229+K239+K246+K253+K264</f>
        <v>3000</v>
      </c>
      <c r="L280" s="381"/>
    </row>
    <row r="281" spans="1:12" ht="326.25" customHeight="1" x14ac:dyDescent="0.3">
      <c r="A281" s="387"/>
      <c r="B281" s="388"/>
      <c r="C281" s="388"/>
      <c r="D281" s="389"/>
      <c r="E281" s="300"/>
      <c r="F281" s="293"/>
      <c r="G281" s="256" t="s">
        <v>311</v>
      </c>
      <c r="H281" s="27">
        <f>H243+H250</f>
        <v>612.24</v>
      </c>
      <c r="I281" s="27">
        <f>I243+I250</f>
        <v>612.24</v>
      </c>
      <c r="J281" s="27">
        <f>J243+J250</f>
        <v>0</v>
      </c>
      <c r="K281" s="27">
        <f>K243+K250</f>
        <v>0</v>
      </c>
      <c r="L281" s="381"/>
    </row>
    <row r="282" spans="1:12" ht="112.5" customHeight="1" x14ac:dyDescent="0.3">
      <c r="A282" s="387"/>
      <c r="B282" s="388"/>
      <c r="C282" s="388"/>
      <c r="D282" s="389"/>
      <c r="E282" s="231" t="s">
        <v>55</v>
      </c>
      <c r="F282" s="293"/>
      <c r="G282" s="252" t="s">
        <v>151</v>
      </c>
      <c r="H282" s="27">
        <f t="shared" ref="H282:K282" si="22">H230</f>
        <v>6600</v>
      </c>
      <c r="I282" s="27">
        <f t="shared" si="22"/>
        <v>0</v>
      </c>
      <c r="J282" s="27">
        <f t="shared" si="22"/>
        <v>0</v>
      </c>
      <c r="K282" s="27">
        <f t="shared" si="22"/>
        <v>6600</v>
      </c>
      <c r="L282" s="381"/>
    </row>
    <row r="283" spans="1:12" ht="99.75" customHeight="1" x14ac:dyDescent="0.3">
      <c r="A283" s="387"/>
      <c r="B283" s="388"/>
      <c r="C283" s="388"/>
      <c r="D283" s="389"/>
      <c r="E283" s="220" t="s">
        <v>54</v>
      </c>
      <c r="F283" s="293"/>
      <c r="G283" s="252" t="s">
        <v>151</v>
      </c>
      <c r="H283" s="27">
        <f t="shared" ref="H283:I283" si="23">H231+H266</f>
        <v>2700</v>
      </c>
      <c r="I283" s="27">
        <f t="shared" si="23"/>
        <v>0</v>
      </c>
      <c r="J283" s="27">
        <f>J231+J266</f>
        <v>200</v>
      </c>
      <c r="K283" s="27">
        <f>K231+K266</f>
        <v>2500</v>
      </c>
      <c r="L283" s="381"/>
    </row>
    <row r="284" spans="1:12" ht="99.75" customHeight="1" x14ac:dyDescent="0.3">
      <c r="A284" s="387"/>
      <c r="B284" s="388"/>
      <c r="C284" s="388"/>
      <c r="D284" s="389"/>
      <c r="E284" s="220" t="s">
        <v>56</v>
      </c>
      <c r="F284" s="293"/>
      <c r="G284" s="252" t="s">
        <v>151</v>
      </c>
      <c r="H284" s="27">
        <f t="shared" ref="H284:I284" si="24">H267</f>
        <v>8841.2999999999993</v>
      </c>
      <c r="I284" s="27">
        <f t="shared" si="24"/>
        <v>0</v>
      </c>
      <c r="J284" s="27">
        <f>J267</f>
        <v>8841.2999999999993</v>
      </c>
      <c r="K284" s="27">
        <f>K267</f>
        <v>0</v>
      </c>
      <c r="L284" s="381"/>
    </row>
    <row r="285" spans="1:12" ht="99.75" customHeight="1" x14ac:dyDescent="0.3">
      <c r="A285" s="387"/>
      <c r="B285" s="388"/>
      <c r="C285" s="388"/>
      <c r="D285" s="389"/>
      <c r="E285" s="220" t="s">
        <v>57</v>
      </c>
      <c r="F285" s="293"/>
      <c r="G285" s="252" t="s">
        <v>151</v>
      </c>
      <c r="H285" s="27"/>
      <c r="I285" s="27"/>
      <c r="J285" s="27"/>
      <c r="K285" s="27"/>
      <c r="L285" s="381"/>
    </row>
    <row r="286" spans="1:12" ht="75" customHeight="1" x14ac:dyDescent="0.3">
      <c r="A286" s="387"/>
      <c r="B286" s="388"/>
      <c r="C286" s="388"/>
      <c r="D286" s="389"/>
      <c r="E286" s="231" t="s">
        <v>133</v>
      </c>
      <c r="F286" s="293"/>
      <c r="G286" s="252" t="s">
        <v>151</v>
      </c>
      <c r="H286" s="27">
        <f>H202+H214+H224+H197</f>
        <v>222239.6</v>
      </c>
      <c r="I286" s="27">
        <f>I202+I214+I224+I197</f>
        <v>30493</v>
      </c>
      <c r="J286" s="27">
        <f>J202+J214+J224+J197</f>
        <v>111446.6</v>
      </c>
      <c r="K286" s="27">
        <f>K202+K214+K224+K197</f>
        <v>80300</v>
      </c>
      <c r="L286" s="381"/>
    </row>
    <row r="287" spans="1:12" ht="117.75" customHeight="1" x14ac:dyDescent="0.3">
      <c r="A287" s="387"/>
      <c r="B287" s="388"/>
      <c r="C287" s="388"/>
      <c r="D287" s="389"/>
      <c r="E287" s="231" t="s">
        <v>61</v>
      </c>
      <c r="F287" s="293"/>
      <c r="G287" s="252" t="s">
        <v>151</v>
      </c>
      <c r="H287" s="27">
        <f>H222+H235+H270</f>
        <v>15572</v>
      </c>
      <c r="I287" s="27">
        <f>I222+I235</f>
        <v>5000</v>
      </c>
      <c r="J287" s="27">
        <f>J222+J235+J270</f>
        <v>10572</v>
      </c>
      <c r="K287" s="27">
        <f>K222+K235</f>
        <v>0</v>
      </c>
      <c r="L287" s="381"/>
    </row>
    <row r="288" spans="1:12" ht="122.25" customHeight="1" x14ac:dyDescent="0.3">
      <c r="A288" s="390"/>
      <c r="B288" s="391"/>
      <c r="C288" s="391"/>
      <c r="D288" s="392"/>
      <c r="E288" s="220" t="s">
        <v>304</v>
      </c>
      <c r="F288" s="294"/>
      <c r="G288" s="252" t="s">
        <v>151</v>
      </c>
      <c r="H288" s="27">
        <f>H198</f>
        <v>400</v>
      </c>
      <c r="I288" s="27">
        <f>I198</f>
        <v>400</v>
      </c>
      <c r="J288" s="27">
        <f>J198</f>
        <v>0</v>
      </c>
      <c r="K288" s="27">
        <f>K198</f>
        <v>0</v>
      </c>
      <c r="L288" s="381"/>
    </row>
    <row r="289" spans="1:17" ht="75" customHeight="1" x14ac:dyDescent="0.4">
      <c r="A289" s="420" t="s">
        <v>69</v>
      </c>
      <c r="B289" s="421"/>
      <c r="C289" s="421"/>
      <c r="D289" s="421"/>
      <c r="E289" s="421"/>
      <c r="F289" s="422"/>
      <c r="G289" s="65"/>
      <c r="H289" s="26">
        <f>H126+H177+H191+H271</f>
        <v>817213.04500000004</v>
      </c>
      <c r="I289" s="26">
        <f>I126+I177+I191+I271</f>
        <v>225046.12</v>
      </c>
      <c r="J289" s="26">
        <f>J126+J177+J191+J271</f>
        <v>383408.22500000003</v>
      </c>
      <c r="K289" s="26">
        <f>K126+K177+K191+K271</f>
        <v>208758.7</v>
      </c>
      <c r="L289" s="307"/>
      <c r="M289" s="200">
        <f>H296+H299+H302+H306+H310+H316+H319+H322+H325+H328+H332+H333</f>
        <v>817213.04500000004</v>
      </c>
      <c r="N289" s="200">
        <f t="shared" ref="N289:P289" si="25">I296+I299+I302+I306+I310+I316+I319+I322+I325+I328+I332+I333</f>
        <v>225046.12</v>
      </c>
      <c r="O289" s="200">
        <f t="shared" si="25"/>
        <v>383408.22499999998</v>
      </c>
      <c r="P289" s="200">
        <f t="shared" si="25"/>
        <v>208758.69999999998</v>
      </c>
      <c r="Q289" s="200"/>
    </row>
    <row r="290" spans="1:17" ht="75" customHeight="1" x14ac:dyDescent="0.3">
      <c r="A290" s="423" t="s">
        <v>159</v>
      </c>
      <c r="B290" s="423"/>
      <c r="C290" s="423"/>
      <c r="D290" s="423"/>
      <c r="E290" s="423"/>
      <c r="F290" s="424"/>
      <c r="G290" s="252" t="s">
        <v>149</v>
      </c>
      <c r="H290" s="26">
        <f>H127+H178+H192</f>
        <v>323264.90000000002</v>
      </c>
      <c r="I290" s="26">
        <f>I127+I178+I192</f>
        <v>100462.09999999999</v>
      </c>
      <c r="J290" s="26">
        <f>J127+J178+J192</f>
        <v>122344.1</v>
      </c>
      <c r="K290" s="26">
        <f>K127+K178+K192</f>
        <v>100458.70000000001</v>
      </c>
      <c r="L290" s="382"/>
    </row>
    <row r="291" spans="1:17" ht="75" customHeight="1" x14ac:dyDescent="0.3">
      <c r="A291" s="425"/>
      <c r="B291" s="425"/>
      <c r="C291" s="425"/>
      <c r="D291" s="425"/>
      <c r="E291" s="425"/>
      <c r="F291" s="426"/>
      <c r="G291" s="252" t="s">
        <v>139</v>
      </c>
      <c r="H291" s="26">
        <f>H272+H194</f>
        <v>473280.52500000002</v>
      </c>
      <c r="I291" s="26">
        <f t="shared" ref="H291:K292" si="26">I272</f>
        <v>105715.20000000001</v>
      </c>
      <c r="J291" s="26">
        <f>J272+J194</f>
        <v>259265.32500000001</v>
      </c>
      <c r="K291" s="26">
        <f t="shared" si="26"/>
        <v>108300</v>
      </c>
      <c r="L291" s="382"/>
    </row>
    <row r="292" spans="1:17" ht="315" customHeight="1" x14ac:dyDescent="0.3">
      <c r="A292" s="425"/>
      <c r="B292" s="425"/>
      <c r="C292" s="425"/>
      <c r="D292" s="425"/>
      <c r="E292" s="425"/>
      <c r="F292" s="426"/>
      <c r="G292" s="256" t="s">
        <v>311</v>
      </c>
      <c r="H292" s="26">
        <f t="shared" si="26"/>
        <v>1836.72</v>
      </c>
      <c r="I292" s="26">
        <f t="shared" si="26"/>
        <v>1836.72</v>
      </c>
      <c r="J292" s="26">
        <f t="shared" si="26"/>
        <v>0</v>
      </c>
      <c r="K292" s="26">
        <f t="shared" si="26"/>
        <v>0</v>
      </c>
      <c r="L292" s="382"/>
    </row>
    <row r="293" spans="1:17" ht="77.25" customHeight="1" x14ac:dyDescent="0.3">
      <c r="A293" s="425"/>
      <c r="B293" s="425"/>
      <c r="C293" s="425"/>
      <c r="D293" s="425"/>
      <c r="E293" s="425"/>
      <c r="F293" s="426"/>
      <c r="G293" s="240" t="s">
        <v>349</v>
      </c>
      <c r="H293" s="26">
        <f>H128</f>
        <v>495</v>
      </c>
      <c r="I293" s="26">
        <f>I128</f>
        <v>495</v>
      </c>
      <c r="J293" s="26">
        <f>J128</f>
        <v>0</v>
      </c>
      <c r="K293" s="26">
        <f>K128</f>
        <v>0</v>
      </c>
      <c r="L293" s="382"/>
    </row>
    <row r="294" spans="1:17" ht="77.25" customHeight="1" x14ac:dyDescent="0.3">
      <c r="A294" s="425"/>
      <c r="B294" s="425"/>
      <c r="C294" s="425"/>
      <c r="D294" s="425"/>
      <c r="E294" s="425"/>
      <c r="F294" s="426"/>
      <c r="G294" s="221" t="s">
        <v>351</v>
      </c>
      <c r="H294" s="26">
        <f>H193</f>
        <v>18301.3</v>
      </c>
      <c r="I294" s="26">
        <f>I193</f>
        <v>16537.099999999999</v>
      </c>
      <c r="J294" s="26">
        <f>J193</f>
        <v>1764.2</v>
      </c>
      <c r="K294" s="26">
        <f>K193</f>
        <v>0</v>
      </c>
      <c r="L294" s="308"/>
    </row>
    <row r="295" spans="1:17" ht="77.25" customHeight="1" x14ac:dyDescent="0.3">
      <c r="A295" s="427"/>
      <c r="B295" s="427"/>
      <c r="C295" s="427"/>
      <c r="D295" s="427"/>
      <c r="E295" s="427"/>
      <c r="F295" s="428"/>
      <c r="G295" s="240" t="s">
        <v>545</v>
      </c>
      <c r="H295" s="26">
        <f>H97</f>
        <v>34.6</v>
      </c>
      <c r="I295" s="26">
        <f>I97</f>
        <v>0</v>
      </c>
      <c r="J295" s="26">
        <f>J97</f>
        <v>34.6</v>
      </c>
      <c r="K295" s="26">
        <f>K97</f>
        <v>0</v>
      </c>
      <c r="L295" s="237"/>
    </row>
    <row r="296" spans="1:17" ht="75" customHeight="1" x14ac:dyDescent="0.3">
      <c r="A296" s="423" t="s">
        <v>66</v>
      </c>
      <c r="B296" s="423"/>
      <c r="C296" s="423"/>
      <c r="D296" s="424"/>
      <c r="E296" s="348" t="s">
        <v>58</v>
      </c>
      <c r="F296" s="447"/>
      <c r="G296" s="252" t="s">
        <v>64</v>
      </c>
      <c r="H296" s="26">
        <f>SUM(H297:H298)</f>
        <v>74216</v>
      </c>
      <c r="I296" s="26">
        <f>SUM(I297:I298)</f>
        <v>28203.7</v>
      </c>
      <c r="J296" s="26">
        <f>SUM(J297:J298)</f>
        <v>29166.400000000001</v>
      </c>
      <c r="K296" s="26">
        <f>SUM(K297:K298)</f>
        <v>16845.900000000001</v>
      </c>
      <c r="L296" s="161"/>
    </row>
    <row r="297" spans="1:17" ht="75" customHeight="1" x14ac:dyDescent="0.3">
      <c r="A297" s="425"/>
      <c r="B297" s="425"/>
      <c r="C297" s="425"/>
      <c r="D297" s="426"/>
      <c r="E297" s="349"/>
      <c r="F297" s="448"/>
      <c r="G297" s="240" t="s">
        <v>148</v>
      </c>
      <c r="H297" s="28">
        <f>H131</f>
        <v>33585.5</v>
      </c>
      <c r="I297" s="28">
        <f>I131</f>
        <v>9703.7000000000007</v>
      </c>
      <c r="J297" s="28">
        <f>J131</f>
        <v>14335.900000000001</v>
      </c>
      <c r="K297" s="28">
        <f>K131</f>
        <v>9545.9</v>
      </c>
      <c r="L297" s="160"/>
    </row>
    <row r="298" spans="1:17" ht="85.5" customHeight="1" x14ac:dyDescent="0.3">
      <c r="A298" s="425"/>
      <c r="B298" s="425"/>
      <c r="C298" s="425"/>
      <c r="D298" s="426"/>
      <c r="E298" s="394"/>
      <c r="F298" s="448"/>
      <c r="G298" s="240" t="s">
        <v>151</v>
      </c>
      <c r="H298" s="28">
        <f>H274</f>
        <v>40630.5</v>
      </c>
      <c r="I298" s="28">
        <f>I274</f>
        <v>18500</v>
      </c>
      <c r="J298" s="28">
        <f>J274</f>
        <v>14830.5</v>
      </c>
      <c r="K298" s="28">
        <f>K274</f>
        <v>7300</v>
      </c>
      <c r="L298" s="160"/>
    </row>
    <row r="299" spans="1:17" ht="75" customHeight="1" x14ac:dyDescent="0.3">
      <c r="A299" s="425"/>
      <c r="B299" s="425"/>
      <c r="C299" s="425"/>
      <c r="D299" s="426"/>
      <c r="E299" s="348" t="s">
        <v>52</v>
      </c>
      <c r="F299" s="448"/>
      <c r="G299" s="252" t="s">
        <v>64</v>
      </c>
      <c r="H299" s="26">
        <f>SUM(H300:H301)</f>
        <v>44595.4</v>
      </c>
      <c r="I299" s="26">
        <f>SUM(I300:I301)</f>
        <v>16473.7</v>
      </c>
      <c r="J299" s="26">
        <f>SUM(J300:J301)</f>
        <v>14162.3</v>
      </c>
      <c r="K299" s="26">
        <f>SUM(K300:K301)</f>
        <v>13959.4</v>
      </c>
      <c r="L299" s="160"/>
    </row>
    <row r="300" spans="1:17" ht="75" customHeight="1" x14ac:dyDescent="0.3">
      <c r="A300" s="425"/>
      <c r="B300" s="425"/>
      <c r="C300" s="425"/>
      <c r="D300" s="426"/>
      <c r="E300" s="349"/>
      <c r="F300" s="448"/>
      <c r="G300" s="240" t="s">
        <v>148</v>
      </c>
      <c r="H300" s="28">
        <f>H133+H179</f>
        <v>42595.4</v>
      </c>
      <c r="I300" s="28">
        <f>I133+I179</f>
        <v>16473.7</v>
      </c>
      <c r="J300" s="28">
        <f>J133+J179</f>
        <v>14162.3</v>
      </c>
      <c r="K300" s="28">
        <f>K133+K179</f>
        <v>11959.4</v>
      </c>
      <c r="L300" s="237"/>
    </row>
    <row r="301" spans="1:17" ht="75" customHeight="1" x14ac:dyDescent="0.3">
      <c r="A301" s="425"/>
      <c r="B301" s="425"/>
      <c r="C301" s="425"/>
      <c r="D301" s="426"/>
      <c r="E301" s="394"/>
      <c r="F301" s="448"/>
      <c r="G301" s="240" t="s">
        <v>151</v>
      </c>
      <c r="H301" s="28">
        <f>H275</f>
        <v>2000</v>
      </c>
      <c r="I301" s="28">
        <f>I275</f>
        <v>0</v>
      </c>
      <c r="J301" s="28">
        <f>J275</f>
        <v>0</v>
      </c>
      <c r="K301" s="28">
        <f>K275</f>
        <v>2000</v>
      </c>
      <c r="L301" s="237"/>
    </row>
    <row r="302" spans="1:17" ht="75" customHeight="1" x14ac:dyDescent="0.3">
      <c r="A302" s="425"/>
      <c r="B302" s="425"/>
      <c r="C302" s="425"/>
      <c r="D302" s="426"/>
      <c r="E302" s="348" t="s">
        <v>53</v>
      </c>
      <c r="F302" s="448"/>
      <c r="G302" s="252" t="s">
        <v>64</v>
      </c>
      <c r="H302" s="26">
        <f>SUM(H303:H305)</f>
        <v>52726.839999999989</v>
      </c>
      <c r="I302" s="26">
        <f>SUM(I303:I305)</f>
        <v>15261.64</v>
      </c>
      <c r="J302" s="26">
        <f>SUM(J303:J305)</f>
        <v>20023.300000000003</v>
      </c>
      <c r="K302" s="26">
        <f>SUM(K303:K305)</f>
        <v>17441.900000000001</v>
      </c>
      <c r="L302" s="237"/>
    </row>
    <row r="303" spans="1:17" ht="75" customHeight="1" x14ac:dyDescent="0.3">
      <c r="A303" s="425"/>
      <c r="B303" s="425"/>
      <c r="C303" s="425"/>
      <c r="D303" s="426"/>
      <c r="E303" s="349"/>
      <c r="F303" s="448"/>
      <c r="G303" s="240" t="s">
        <v>148</v>
      </c>
      <c r="H303" s="28">
        <f>H135+H180</f>
        <v>41190.399999999994</v>
      </c>
      <c r="I303" s="28">
        <f>I135+I180</f>
        <v>12719.8</v>
      </c>
      <c r="J303" s="28">
        <f>J135+J180</f>
        <v>13628.7</v>
      </c>
      <c r="K303" s="28">
        <f>K135+K180</f>
        <v>14841.900000000001</v>
      </c>
      <c r="L303" s="237"/>
    </row>
    <row r="304" spans="1:17" ht="75" customHeight="1" x14ac:dyDescent="0.3">
      <c r="A304" s="425"/>
      <c r="B304" s="425"/>
      <c r="C304" s="425"/>
      <c r="D304" s="426"/>
      <c r="E304" s="349"/>
      <c r="F304" s="448"/>
      <c r="G304" s="240" t="s">
        <v>151</v>
      </c>
      <c r="H304" s="28">
        <f t="shared" ref="H304:K305" si="27">H276</f>
        <v>10924.2</v>
      </c>
      <c r="I304" s="28">
        <f t="shared" si="27"/>
        <v>1929.6</v>
      </c>
      <c r="J304" s="28">
        <f t="shared" si="27"/>
        <v>6394.6</v>
      </c>
      <c r="K304" s="28">
        <f t="shared" si="27"/>
        <v>2600</v>
      </c>
      <c r="L304" s="237"/>
    </row>
    <row r="305" spans="1:16" ht="327.75" customHeight="1" x14ac:dyDescent="0.3">
      <c r="A305" s="425"/>
      <c r="B305" s="425"/>
      <c r="C305" s="425"/>
      <c r="D305" s="426"/>
      <c r="E305" s="394"/>
      <c r="F305" s="448"/>
      <c r="G305" s="256" t="s">
        <v>311</v>
      </c>
      <c r="H305" s="28">
        <f t="shared" si="27"/>
        <v>612.24</v>
      </c>
      <c r="I305" s="28">
        <f t="shared" si="27"/>
        <v>612.24</v>
      </c>
      <c r="J305" s="28">
        <f t="shared" si="27"/>
        <v>0</v>
      </c>
      <c r="K305" s="28">
        <f t="shared" si="27"/>
        <v>0</v>
      </c>
      <c r="L305" s="237"/>
    </row>
    <row r="306" spans="1:16" ht="42" customHeight="1" x14ac:dyDescent="0.4">
      <c r="A306" s="425"/>
      <c r="B306" s="425"/>
      <c r="C306" s="425"/>
      <c r="D306" s="426"/>
      <c r="E306" s="348" t="s">
        <v>51</v>
      </c>
      <c r="F306" s="448"/>
      <c r="G306" s="252" t="s">
        <v>64</v>
      </c>
      <c r="H306" s="26">
        <f>SUM(H307:H309)</f>
        <v>125450.94</v>
      </c>
      <c r="I306" s="26">
        <f>SUM(I307:I309)</f>
        <v>29305.14</v>
      </c>
      <c r="J306" s="26">
        <f>SUM(J307:J309)</f>
        <v>78647.099999999991</v>
      </c>
      <c r="K306" s="26">
        <f>SUM(K307:K309)</f>
        <v>17498.699999999997</v>
      </c>
      <c r="L306" s="237"/>
      <c r="M306" s="200"/>
      <c r="N306" s="200"/>
      <c r="O306" s="200"/>
      <c r="P306" s="200"/>
    </row>
    <row r="307" spans="1:16" ht="55.5" customHeight="1" x14ac:dyDescent="0.3">
      <c r="A307" s="425"/>
      <c r="B307" s="425"/>
      <c r="C307" s="425"/>
      <c r="D307" s="426"/>
      <c r="E307" s="349"/>
      <c r="F307" s="448"/>
      <c r="G307" s="66" t="s">
        <v>148</v>
      </c>
      <c r="H307" s="28">
        <f>H137</f>
        <v>51562.099999999991</v>
      </c>
      <c r="I307" s="28">
        <f>I137</f>
        <v>12581.599999999999</v>
      </c>
      <c r="J307" s="28">
        <f>J137</f>
        <v>25481.8</v>
      </c>
      <c r="K307" s="28">
        <f>K137</f>
        <v>13498.699999999999</v>
      </c>
      <c r="L307" s="237"/>
    </row>
    <row r="308" spans="1:16" ht="58.5" customHeight="1" x14ac:dyDescent="0.3">
      <c r="A308" s="425"/>
      <c r="B308" s="425"/>
      <c r="C308" s="425"/>
      <c r="D308" s="426"/>
      <c r="E308" s="349"/>
      <c r="F308" s="448"/>
      <c r="G308" s="240" t="s">
        <v>151</v>
      </c>
      <c r="H308" s="28">
        <f t="shared" ref="H308:K309" si="28">H278</f>
        <v>73276.600000000006</v>
      </c>
      <c r="I308" s="28">
        <f t="shared" si="28"/>
        <v>16111.3</v>
      </c>
      <c r="J308" s="28">
        <f t="shared" si="28"/>
        <v>53165.299999999996</v>
      </c>
      <c r="K308" s="28">
        <f t="shared" si="28"/>
        <v>4000</v>
      </c>
      <c r="L308" s="237"/>
    </row>
    <row r="309" spans="1:16" ht="303.75" customHeight="1" x14ac:dyDescent="0.3">
      <c r="A309" s="425"/>
      <c r="B309" s="425"/>
      <c r="C309" s="425"/>
      <c r="D309" s="426"/>
      <c r="E309" s="394"/>
      <c r="F309" s="448"/>
      <c r="G309" s="256" t="s">
        <v>311</v>
      </c>
      <c r="H309" s="28">
        <f t="shared" si="28"/>
        <v>612.24</v>
      </c>
      <c r="I309" s="28">
        <f t="shared" si="28"/>
        <v>612.24</v>
      </c>
      <c r="J309" s="28">
        <f t="shared" si="28"/>
        <v>0</v>
      </c>
      <c r="K309" s="28">
        <f t="shared" si="28"/>
        <v>0</v>
      </c>
      <c r="L309" s="237"/>
    </row>
    <row r="310" spans="1:16" ht="42" customHeight="1" x14ac:dyDescent="0.3">
      <c r="A310" s="425"/>
      <c r="B310" s="425"/>
      <c r="C310" s="425"/>
      <c r="D310" s="426"/>
      <c r="E310" s="348" t="s">
        <v>137</v>
      </c>
      <c r="F310" s="448"/>
      <c r="G310" s="252" t="s">
        <v>64</v>
      </c>
      <c r="H310" s="28">
        <f t="shared" ref="H310:I310" si="29">SUM(H311:H315)</f>
        <v>108661.34000000001</v>
      </c>
      <c r="I310" s="28">
        <f t="shared" si="29"/>
        <v>39421.440000000002</v>
      </c>
      <c r="J310" s="28">
        <f>SUM(J311:J315)</f>
        <v>60992.2</v>
      </c>
      <c r="K310" s="28">
        <f>SUM(K311:K314)</f>
        <v>8247.7000000000007</v>
      </c>
      <c r="L310" s="237"/>
    </row>
    <row r="311" spans="1:16" ht="56.25" customHeight="1" x14ac:dyDescent="0.3">
      <c r="A311" s="425"/>
      <c r="B311" s="425"/>
      <c r="C311" s="425"/>
      <c r="D311" s="426"/>
      <c r="E311" s="349"/>
      <c r="F311" s="448"/>
      <c r="G311" s="66" t="s">
        <v>148</v>
      </c>
      <c r="H311" s="28">
        <f>H147+H184</f>
        <v>17423.3</v>
      </c>
      <c r="I311" s="28">
        <f>I147+I184</f>
        <v>5032.8999999999996</v>
      </c>
      <c r="J311" s="28">
        <f>J147+J184</f>
        <v>7142.7</v>
      </c>
      <c r="K311" s="28">
        <f>K147+K184</f>
        <v>5247.7</v>
      </c>
      <c r="L311" s="237"/>
    </row>
    <row r="312" spans="1:16" ht="75" customHeight="1" x14ac:dyDescent="0.3">
      <c r="A312" s="425"/>
      <c r="B312" s="425"/>
      <c r="C312" s="425"/>
      <c r="D312" s="426"/>
      <c r="E312" s="349"/>
      <c r="F312" s="448"/>
      <c r="G312" s="240" t="s">
        <v>151</v>
      </c>
      <c r="H312" s="28">
        <f t="shared" ref="H312:K313" si="30">H280</f>
        <v>90096.2</v>
      </c>
      <c r="I312" s="28">
        <f t="shared" si="30"/>
        <v>33281.300000000003</v>
      </c>
      <c r="J312" s="28">
        <f t="shared" si="30"/>
        <v>53814.9</v>
      </c>
      <c r="K312" s="28">
        <f t="shared" si="30"/>
        <v>3000</v>
      </c>
      <c r="L312" s="237"/>
    </row>
    <row r="313" spans="1:16" ht="310.5" customHeight="1" x14ac:dyDescent="0.3">
      <c r="A313" s="425"/>
      <c r="B313" s="425"/>
      <c r="C313" s="425"/>
      <c r="D313" s="426"/>
      <c r="E313" s="349"/>
      <c r="F313" s="448"/>
      <c r="G313" s="256" t="s">
        <v>311</v>
      </c>
      <c r="H313" s="28">
        <f t="shared" si="30"/>
        <v>612.24</v>
      </c>
      <c r="I313" s="28">
        <f t="shared" si="30"/>
        <v>612.24</v>
      </c>
      <c r="J313" s="28">
        <f t="shared" si="30"/>
        <v>0</v>
      </c>
      <c r="K313" s="28">
        <f t="shared" si="30"/>
        <v>0</v>
      </c>
      <c r="L313" s="237"/>
    </row>
    <row r="314" spans="1:16" ht="110.25" customHeight="1" x14ac:dyDescent="0.3">
      <c r="A314" s="425"/>
      <c r="B314" s="425"/>
      <c r="C314" s="425"/>
      <c r="D314" s="426"/>
      <c r="E314" s="349"/>
      <c r="F314" s="448"/>
      <c r="G314" s="240" t="s">
        <v>349</v>
      </c>
      <c r="H314" s="28">
        <f>H148</f>
        <v>495</v>
      </c>
      <c r="I314" s="28">
        <f>I148</f>
        <v>495</v>
      </c>
      <c r="J314" s="28">
        <f>J148</f>
        <v>0</v>
      </c>
      <c r="K314" s="28">
        <f>K148</f>
        <v>0</v>
      </c>
      <c r="L314" s="237"/>
    </row>
    <row r="315" spans="1:16" ht="65.25" customHeight="1" x14ac:dyDescent="0.3">
      <c r="A315" s="425"/>
      <c r="B315" s="425"/>
      <c r="C315" s="425"/>
      <c r="D315" s="426"/>
      <c r="E315" s="394"/>
      <c r="F315" s="448"/>
      <c r="G315" s="240" t="s">
        <v>545</v>
      </c>
      <c r="H315" s="28">
        <f>H97</f>
        <v>34.6</v>
      </c>
      <c r="I315" s="28">
        <f>I97</f>
        <v>0</v>
      </c>
      <c r="J315" s="28">
        <f>J97</f>
        <v>34.6</v>
      </c>
      <c r="K315" s="28">
        <f>K97</f>
        <v>0</v>
      </c>
      <c r="L315" s="237"/>
    </row>
    <row r="316" spans="1:16" ht="58.5" customHeight="1" x14ac:dyDescent="0.3">
      <c r="A316" s="425"/>
      <c r="B316" s="425"/>
      <c r="C316" s="425"/>
      <c r="D316" s="426"/>
      <c r="E316" s="348" t="s">
        <v>55</v>
      </c>
      <c r="F316" s="448"/>
      <c r="G316" s="252" t="s">
        <v>64</v>
      </c>
      <c r="H316" s="26">
        <f>SUM(H317:H318)</f>
        <v>22910.399999999998</v>
      </c>
      <c r="I316" s="26">
        <f>SUM(I317:I318)</f>
        <v>5125.6000000000004</v>
      </c>
      <c r="J316" s="26">
        <f>SUM(J317:J318)</f>
        <v>5512</v>
      </c>
      <c r="K316" s="26">
        <f>SUM(K317:K318)</f>
        <v>12272.8</v>
      </c>
      <c r="L316" s="237"/>
    </row>
    <row r="317" spans="1:16" ht="75" customHeight="1" x14ac:dyDescent="0.3">
      <c r="A317" s="425"/>
      <c r="B317" s="425"/>
      <c r="C317" s="425"/>
      <c r="D317" s="426"/>
      <c r="E317" s="349"/>
      <c r="F317" s="448"/>
      <c r="G317" s="66" t="s">
        <v>148</v>
      </c>
      <c r="H317" s="28">
        <f>H139</f>
        <v>16310.399999999998</v>
      </c>
      <c r="I317" s="28">
        <f>I139</f>
        <v>5125.6000000000004</v>
      </c>
      <c r="J317" s="28">
        <f>J139</f>
        <v>5512</v>
      </c>
      <c r="K317" s="28">
        <f>K139</f>
        <v>5672.8</v>
      </c>
      <c r="L317" s="237"/>
    </row>
    <row r="318" spans="1:16" ht="63" customHeight="1" x14ac:dyDescent="0.3">
      <c r="A318" s="425"/>
      <c r="B318" s="425"/>
      <c r="C318" s="425"/>
      <c r="D318" s="426"/>
      <c r="E318" s="394"/>
      <c r="F318" s="448"/>
      <c r="G318" s="240" t="s">
        <v>151</v>
      </c>
      <c r="H318" s="28">
        <f>H282</f>
        <v>6600</v>
      </c>
      <c r="I318" s="28">
        <f>I282</f>
        <v>0</v>
      </c>
      <c r="J318" s="28">
        <f>J282</f>
        <v>0</v>
      </c>
      <c r="K318" s="28">
        <f>K282</f>
        <v>6600</v>
      </c>
      <c r="L318" s="237"/>
    </row>
    <row r="319" spans="1:16" ht="64.5" customHeight="1" x14ac:dyDescent="0.3">
      <c r="A319" s="425"/>
      <c r="B319" s="425"/>
      <c r="C319" s="425"/>
      <c r="D319" s="426"/>
      <c r="E319" s="348" t="s">
        <v>54</v>
      </c>
      <c r="F319" s="448"/>
      <c r="G319" s="252" t="s">
        <v>64</v>
      </c>
      <c r="H319" s="26">
        <f>SUM(H320:H321)</f>
        <v>42318.3</v>
      </c>
      <c r="I319" s="26">
        <f>SUM(I320:I321)</f>
        <v>13838.7</v>
      </c>
      <c r="J319" s="26">
        <f>SUM(J320:J321)</f>
        <v>14592.800000000001</v>
      </c>
      <c r="K319" s="26">
        <f>SUM(K320:K321)</f>
        <v>13886.8</v>
      </c>
      <c r="L319" s="237"/>
    </row>
    <row r="320" spans="1:16" ht="75" customHeight="1" x14ac:dyDescent="0.3">
      <c r="A320" s="425"/>
      <c r="B320" s="425"/>
      <c r="C320" s="425"/>
      <c r="D320" s="426"/>
      <c r="E320" s="349"/>
      <c r="F320" s="448"/>
      <c r="G320" s="66" t="s">
        <v>148</v>
      </c>
      <c r="H320" s="28">
        <f>H141+H181</f>
        <v>39618.300000000003</v>
      </c>
      <c r="I320" s="28">
        <f>I141+I181</f>
        <v>13838.7</v>
      </c>
      <c r="J320" s="28">
        <f>J141+J181</f>
        <v>14392.800000000001</v>
      </c>
      <c r="K320" s="28">
        <f>K141+K181</f>
        <v>11386.8</v>
      </c>
      <c r="L320" s="237"/>
    </row>
    <row r="321" spans="1:12" ht="75" customHeight="1" x14ac:dyDescent="0.3">
      <c r="A321" s="425"/>
      <c r="B321" s="425"/>
      <c r="C321" s="425"/>
      <c r="D321" s="426"/>
      <c r="E321" s="394"/>
      <c r="F321" s="448"/>
      <c r="G321" s="240" t="s">
        <v>151</v>
      </c>
      <c r="H321" s="28">
        <f>H283</f>
        <v>2700</v>
      </c>
      <c r="I321" s="28">
        <f t="shared" ref="I321" si="31">I283</f>
        <v>0</v>
      </c>
      <c r="J321" s="28">
        <f>J283</f>
        <v>200</v>
      </c>
      <c r="K321" s="28">
        <f>K283</f>
        <v>2500</v>
      </c>
      <c r="L321" s="237"/>
    </row>
    <row r="322" spans="1:12" ht="75" customHeight="1" x14ac:dyDescent="0.3">
      <c r="A322" s="425"/>
      <c r="B322" s="425"/>
      <c r="C322" s="425"/>
      <c r="D322" s="426"/>
      <c r="E322" s="348" t="s">
        <v>56</v>
      </c>
      <c r="F322" s="448"/>
      <c r="G322" s="252" t="s">
        <v>64</v>
      </c>
      <c r="H322" s="26">
        <f>SUM(H323:H324)</f>
        <v>41926.5</v>
      </c>
      <c r="I322" s="26">
        <f>SUM(I323:I324)</f>
        <v>10162</v>
      </c>
      <c r="J322" s="26">
        <f>SUM(J323:J324)</f>
        <v>20537.399999999998</v>
      </c>
      <c r="K322" s="26">
        <f>SUM(K323:K324)</f>
        <v>11227.099999999999</v>
      </c>
      <c r="L322" s="237"/>
    </row>
    <row r="323" spans="1:12" ht="75" customHeight="1" x14ac:dyDescent="0.3">
      <c r="A323" s="425"/>
      <c r="B323" s="425"/>
      <c r="C323" s="425"/>
      <c r="D323" s="426"/>
      <c r="E323" s="349"/>
      <c r="F323" s="448"/>
      <c r="G323" s="66" t="s">
        <v>148</v>
      </c>
      <c r="H323" s="28">
        <f>H143+H182</f>
        <v>33085.200000000004</v>
      </c>
      <c r="I323" s="28">
        <f>I143+I182</f>
        <v>10162</v>
      </c>
      <c r="J323" s="28">
        <f>J143+J182</f>
        <v>11696.099999999999</v>
      </c>
      <c r="K323" s="28">
        <f>K143+K182</f>
        <v>11227.099999999999</v>
      </c>
      <c r="L323" s="237"/>
    </row>
    <row r="324" spans="1:12" ht="75" customHeight="1" x14ac:dyDescent="0.3">
      <c r="A324" s="425"/>
      <c r="B324" s="425"/>
      <c r="C324" s="425"/>
      <c r="D324" s="426"/>
      <c r="E324" s="394"/>
      <c r="F324" s="448"/>
      <c r="G324" s="240" t="s">
        <v>151</v>
      </c>
      <c r="H324" s="28">
        <f>H284</f>
        <v>8841.2999999999993</v>
      </c>
      <c r="I324" s="28">
        <f>I284</f>
        <v>0</v>
      </c>
      <c r="J324" s="28">
        <f>J284</f>
        <v>8841.2999999999993</v>
      </c>
      <c r="K324" s="28">
        <f>K284</f>
        <v>0</v>
      </c>
      <c r="L324" s="237"/>
    </row>
    <row r="325" spans="1:12" ht="75" customHeight="1" x14ac:dyDescent="0.3">
      <c r="A325" s="425"/>
      <c r="B325" s="425"/>
      <c r="C325" s="425"/>
      <c r="D325" s="426"/>
      <c r="E325" s="348" t="s">
        <v>57</v>
      </c>
      <c r="F325" s="448"/>
      <c r="G325" s="252" t="s">
        <v>64</v>
      </c>
      <c r="H325" s="26">
        <f>H326+H327</f>
        <v>37133.599999999999</v>
      </c>
      <c r="I325" s="26">
        <f>I326+I327</f>
        <v>11869.8</v>
      </c>
      <c r="J325" s="26">
        <f>J326+J327</f>
        <v>12178.8</v>
      </c>
      <c r="K325" s="26">
        <f>K326+K327</f>
        <v>13085</v>
      </c>
      <c r="L325" s="237"/>
    </row>
    <row r="326" spans="1:12" ht="75" customHeight="1" x14ac:dyDescent="0.3">
      <c r="A326" s="425"/>
      <c r="B326" s="425"/>
      <c r="C326" s="425"/>
      <c r="D326" s="426"/>
      <c r="E326" s="349"/>
      <c r="F326" s="448"/>
      <c r="G326" s="66" t="s">
        <v>148</v>
      </c>
      <c r="H326" s="28">
        <f>H145+H183</f>
        <v>37133.599999999999</v>
      </c>
      <c r="I326" s="28">
        <f>I145+I183</f>
        <v>11869.8</v>
      </c>
      <c r="J326" s="28">
        <f>J145+J183</f>
        <v>12178.8</v>
      </c>
      <c r="K326" s="28">
        <f>K145+K183</f>
        <v>13085</v>
      </c>
      <c r="L326" s="237"/>
    </row>
    <row r="327" spans="1:12" ht="75" customHeight="1" x14ac:dyDescent="0.3">
      <c r="A327" s="425"/>
      <c r="B327" s="425"/>
      <c r="C327" s="425"/>
      <c r="D327" s="426"/>
      <c r="E327" s="394"/>
      <c r="F327" s="448"/>
      <c r="G327" s="240" t="s">
        <v>151</v>
      </c>
      <c r="H327" s="28">
        <f>I327+J327+K327</f>
        <v>0</v>
      </c>
      <c r="I327" s="28">
        <f>I285</f>
        <v>0</v>
      </c>
      <c r="J327" s="28">
        <f>J285</f>
        <v>0</v>
      </c>
      <c r="K327" s="28">
        <f>K285</f>
        <v>0</v>
      </c>
      <c r="L327" s="237"/>
    </row>
    <row r="328" spans="1:12" ht="75" customHeight="1" x14ac:dyDescent="0.3">
      <c r="A328" s="425"/>
      <c r="B328" s="425"/>
      <c r="C328" s="425"/>
      <c r="D328" s="426"/>
      <c r="E328" s="348" t="s">
        <v>133</v>
      </c>
      <c r="F328" s="448"/>
      <c r="G328" s="252" t="s">
        <v>64</v>
      </c>
      <c r="H328" s="26">
        <f>H329+H330+H331</f>
        <v>251301.72500000001</v>
      </c>
      <c r="I328" s="26">
        <f>I329+I330+I331</f>
        <v>49984.4</v>
      </c>
      <c r="J328" s="26">
        <f>J329+J330+J331</f>
        <v>117023.925</v>
      </c>
      <c r="K328" s="26">
        <f>K329+K330+K331</f>
        <v>84293.4</v>
      </c>
      <c r="L328" s="237"/>
    </row>
    <row r="329" spans="1:12" ht="75" customHeight="1" x14ac:dyDescent="0.3">
      <c r="A329" s="425"/>
      <c r="B329" s="425"/>
      <c r="C329" s="425"/>
      <c r="D329" s="426"/>
      <c r="E329" s="349"/>
      <c r="F329" s="448"/>
      <c r="G329" s="66" t="s">
        <v>148</v>
      </c>
      <c r="H329" s="28">
        <f>H151+H192</f>
        <v>10760.7</v>
      </c>
      <c r="I329" s="28">
        <f>I151+I192</f>
        <v>2954.2999999999997</v>
      </c>
      <c r="J329" s="28">
        <f>J151+J192</f>
        <v>3813</v>
      </c>
      <c r="K329" s="28">
        <f>K151+K192</f>
        <v>3993.4</v>
      </c>
      <c r="L329" s="237"/>
    </row>
    <row r="330" spans="1:12" ht="67.5" customHeight="1" x14ac:dyDescent="0.3">
      <c r="A330" s="425"/>
      <c r="B330" s="425"/>
      <c r="C330" s="425"/>
      <c r="D330" s="426"/>
      <c r="E330" s="349"/>
      <c r="F330" s="448"/>
      <c r="G330" s="240" t="s">
        <v>151</v>
      </c>
      <c r="H330" s="28">
        <f>H286+H194</f>
        <v>222239.72500000001</v>
      </c>
      <c r="I330" s="28">
        <f>I286</f>
        <v>30493</v>
      </c>
      <c r="J330" s="28">
        <f>J286+J194</f>
        <v>111446.72500000001</v>
      </c>
      <c r="K330" s="28">
        <f>K286</f>
        <v>80300</v>
      </c>
      <c r="L330" s="254"/>
    </row>
    <row r="331" spans="1:12" ht="72" customHeight="1" x14ac:dyDescent="0.3">
      <c r="A331" s="425"/>
      <c r="B331" s="425"/>
      <c r="C331" s="425"/>
      <c r="D331" s="426"/>
      <c r="E331" s="394"/>
      <c r="F331" s="448"/>
      <c r="G331" s="221" t="s">
        <v>351</v>
      </c>
      <c r="H331" s="28">
        <f>H193</f>
        <v>18301.3</v>
      </c>
      <c r="I331" s="28">
        <f>I193</f>
        <v>16537.099999999999</v>
      </c>
      <c r="J331" s="28">
        <f>J193</f>
        <v>1764.2</v>
      </c>
      <c r="K331" s="28">
        <f>K193</f>
        <v>0</v>
      </c>
      <c r="L331" s="162"/>
    </row>
    <row r="332" spans="1:12" ht="120" customHeight="1" x14ac:dyDescent="0.3">
      <c r="A332" s="425"/>
      <c r="B332" s="425"/>
      <c r="C332" s="425"/>
      <c r="D332" s="426"/>
      <c r="E332" s="251" t="s">
        <v>61</v>
      </c>
      <c r="F332" s="448"/>
      <c r="G332" s="240" t="s">
        <v>151</v>
      </c>
      <c r="H332" s="28">
        <f t="shared" ref="H332:K333" si="32">H287</f>
        <v>15572</v>
      </c>
      <c r="I332" s="28">
        <f t="shared" si="32"/>
        <v>5000</v>
      </c>
      <c r="J332" s="28">
        <f t="shared" si="32"/>
        <v>10572</v>
      </c>
      <c r="K332" s="28">
        <f t="shared" si="32"/>
        <v>0</v>
      </c>
      <c r="L332" s="162"/>
    </row>
    <row r="333" spans="1:12" ht="112.5" customHeight="1" x14ac:dyDescent="0.3">
      <c r="A333" s="427"/>
      <c r="B333" s="427"/>
      <c r="C333" s="427"/>
      <c r="D333" s="428"/>
      <c r="E333" s="243" t="s">
        <v>304</v>
      </c>
      <c r="F333" s="449"/>
      <c r="G333" s="252" t="s">
        <v>151</v>
      </c>
      <c r="H333" s="28">
        <f t="shared" si="32"/>
        <v>400</v>
      </c>
      <c r="I333" s="28">
        <f t="shared" si="32"/>
        <v>400</v>
      </c>
      <c r="J333" s="28">
        <f t="shared" si="32"/>
        <v>0</v>
      </c>
      <c r="K333" s="28">
        <f t="shared" si="32"/>
        <v>0</v>
      </c>
      <c r="L333" s="162"/>
    </row>
    <row r="334" spans="1:12" ht="75" customHeight="1" x14ac:dyDescent="0.3">
      <c r="A334" s="445" t="s">
        <v>99</v>
      </c>
      <c r="B334" s="445"/>
      <c r="C334" s="445"/>
      <c r="D334" s="445"/>
      <c r="E334" s="445"/>
      <c r="F334" s="445"/>
      <c r="G334" s="445"/>
      <c r="H334" s="445"/>
      <c r="I334" s="445"/>
      <c r="J334" s="445"/>
      <c r="K334" s="445"/>
      <c r="L334" s="446"/>
    </row>
    <row r="335" spans="1:12" ht="88.5" customHeight="1" x14ac:dyDescent="0.3">
      <c r="A335" s="255" t="s">
        <v>100</v>
      </c>
      <c r="B335" s="376" t="s">
        <v>371</v>
      </c>
      <c r="C335" s="377"/>
      <c r="D335" s="377"/>
      <c r="E335" s="377"/>
      <c r="F335" s="378"/>
      <c r="G335" s="51" t="s">
        <v>60</v>
      </c>
      <c r="H335" s="26">
        <f>SUM(H336:H340)</f>
        <v>1960.2</v>
      </c>
      <c r="I335" s="26">
        <f>SUM(I336:I340)</f>
        <v>653.4</v>
      </c>
      <c r="J335" s="26">
        <f>SUM(J336:J340)</f>
        <v>653.4</v>
      </c>
      <c r="K335" s="26">
        <f>SUM(K336:K340)</f>
        <v>653.4</v>
      </c>
      <c r="L335" s="317" t="s">
        <v>383</v>
      </c>
    </row>
    <row r="336" spans="1:12" ht="92.25" hidden="1" customHeight="1" x14ac:dyDescent="0.3">
      <c r="A336" s="364" t="s">
        <v>101</v>
      </c>
      <c r="B336" s="365"/>
      <c r="C336" s="365"/>
      <c r="D336" s="366"/>
      <c r="E336" s="220" t="s">
        <v>58</v>
      </c>
      <c r="F336" s="373"/>
      <c r="G336" s="333" t="s">
        <v>148</v>
      </c>
      <c r="H336" s="26">
        <f>I336+J336+K336</f>
        <v>0</v>
      </c>
      <c r="I336" s="28"/>
      <c r="J336" s="28"/>
      <c r="K336" s="28"/>
      <c r="L336" s="317"/>
    </row>
    <row r="337" spans="1:12" ht="82.5" customHeight="1" x14ac:dyDescent="0.3">
      <c r="A337" s="367"/>
      <c r="B337" s="368"/>
      <c r="C337" s="368"/>
      <c r="D337" s="369"/>
      <c r="E337" s="220" t="s">
        <v>52</v>
      </c>
      <c r="F337" s="374"/>
      <c r="G337" s="339"/>
      <c r="H337" s="26">
        <f>I337+J337+K337</f>
        <v>490.20000000000005</v>
      </c>
      <c r="I337" s="28">
        <v>163.4</v>
      </c>
      <c r="J337" s="28">
        <v>163.4</v>
      </c>
      <c r="K337" s="28">
        <v>163.4</v>
      </c>
      <c r="L337" s="317"/>
    </row>
    <row r="338" spans="1:12" ht="92.25" hidden="1" customHeight="1" x14ac:dyDescent="0.3">
      <c r="A338" s="367"/>
      <c r="B338" s="368"/>
      <c r="C338" s="368"/>
      <c r="D338" s="369"/>
      <c r="E338" s="220" t="s">
        <v>53</v>
      </c>
      <c r="F338" s="374"/>
      <c r="G338" s="339"/>
      <c r="H338" s="26">
        <f>I338+J338+K338</f>
        <v>0</v>
      </c>
      <c r="I338" s="28"/>
      <c r="J338" s="28"/>
      <c r="K338" s="28"/>
      <c r="L338" s="317"/>
    </row>
    <row r="339" spans="1:12" ht="92.25" hidden="1" customHeight="1" x14ac:dyDescent="0.3">
      <c r="A339" s="367"/>
      <c r="B339" s="368"/>
      <c r="C339" s="368"/>
      <c r="D339" s="369"/>
      <c r="E339" s="220" t="s">
        <v>55</v>
      </c>
      <c r="F339" s="374"/>
      <c r="G339" s="339"/>
      <c r="H339" s="26">
        <f>I339+J339+K339</f>
        <v>0</v>
      </c>
      <c r="I339" s="28"/>
      <c r="J339" s="28"/>
      <c r="K339" s="28"/>
      <c r="L339" s="317"/>
    </row>
    <row r="340" spans="1:12" ht="92.25" customHeight="1" x14ac:dyDescent="0.3">
      <c r="A340" s="370"/>
      <c r="B340" s="371"/>
      <c r="C340" s="371"/>
      <c r="D340" s="372"/>
      <c r="E340" s="226" t="s">
        <v>54</v>
      </c>
      <c r="F340" s="375"/>
      <c r="G340" s="334"/>
      <c r="H340" s="26">
        <f>I340+J340+K340</f>
        <v>1470</v>
      </c>
      <c r="I340" s="28">
        <v>490</v>
      </c>
      <c r="J340" s="28">
        <v>490</v>
      </c>
      <c r="K340" s="28">
        <v>490</v>
      </c>
      <c r="L340" s="317"/>
    </row>
    <row r="341" spans="1:12" ht="90" customHeight="1" x14ac:dyDescent="0.3">
      <c r="A341" s="67" t="s">
        <v>110</v>
      </c>
      <c r="B341" s="376" t="s">
        <v>372</v>
      </c>
      <c r="C341" s="377"/>
      <c r="D341" s="377"/>
      <c r="E341" s="377"/>
      <c r="F341" s="378"/>
      <c r="G341" s="238" t="s">
        <v>60</v>
      </c>
      <c r="H341" s="26">
        <f>SUM(H342:H355)</f>
        <v>48866.299999999996</v>
      </c>
      <c r="I341" s="26">
        <f>SUM(I342:I355)</f>
        <v>165</v>
      </c>
      <c r="J341" s="26">
        <f>SUM(J342:J355)</f>
        <v>16701.3</v>
      </c>
      <c r="K341" s="26">
        <f>SUM(K342:K355)</f>
        <v>32000</v>
      </c>
      <c r="L341" s="407" t="s">
        <v>382</v>
      </c>
    </row>
    <row r="342" spans="1:12" ht="92.25" hidden="1" customHeight="1" x14ac:dyDescent="0.3">
      <c r="A342" s="398" t="s">
        <v>101</v>
      </c>
      <c r="B342" s="399"/>
      <c r="C342" s="399"/>
      <c r="D342" s="400"/>
      <c r="E342" s="299" t="s">
        <v>58</v>
      </c>
      <c r="F342" s="283"/>
      <c r="G342" s="240" t="s">
        <v>148</v>
      </c>
      <c r="H342" s="26">
        <f t="shared" ref="H342:H355" si="33">I342+J342+K342</f>
        <v>0</v>
      </c>
      <c r="I342" s="26"/>
      <c r="J342" s="26"/>
      <c r="K342" s="26"/>
      <c r="L342" s="408"/>
    </row>
    <row r="343" spans="1:12" ht="75" customHeight="1" x14ac:dyDescent="0.3">
      <c r="A343" s="401"/>
      <c r="B343" s="402"/>
      <c r="C343" s="402"/>
      <c r="D343" s="403"/>
      <c r="E343" s="310"/>
      <c r="F343" s="284"/>
      <c r="G343" s="240" t="s">
        <v>151</v>
      </c>
      <c r="H343" s="28">
        <f t="shared" si="33"/>
        <v>4000</v>
      </c>
      <c r="I343" s="28">
        <v>0</v>
      </c>
      <c r="J343" s="28">
        <v>0</v>
      </c>
      <c r="K343" s="28">
        <v>4000</v>
      </c>
      <c r="L343" s="408"/>
    </row>
    <row r="344" spans="1:12" ht="75" customHeight="1" x14ac:dyDescent="0.3">
      <c r="A344" s="401"/>
      <c r="B344" s="402"/>
      <c r="C344" s="402"/>
      <c r="D344" s="403"/>
      <c r="E344" s="300"/>
      <c r="F344" s="284"/>
      <c r="G344" s="240" t="s">
        <v>148</v>
      </c>
      <c r="H344" s="28">
        <f t="shared" si="33"/>
        <v>142.80000000000001</v>
      </c>
      <c r="I344" s="28">
        <v>0</v>
      </c>
      <c r="J344" s="28">
        <v>142.80000000000001</v>
      </c>
      <c r="K344" s="28">
        <v>0</v>
      </c>
      <c r="L344" s="408"/>
    </row>
    <row r="345" spans="1:12" ht="82.5" customHeight="1" x14ac:dyDescent="0.3">
      <c r="A345" s="401"/>
      <c r="B345" s="402"/>
      <c r="C345" s="402"/>
      <c r="D345" s="403"/>
      <c r="E345" s="299" t="s">
        <v>246</v>
      </c>
      <c r="F345" s="284"/>
      <c r="G345" s="240" t="s">
        <v>148</v>
      </c>
      <c r="H345" s="28">
        <f t="shared" si="33"/>
        <v>62</v>
      </c>
      <c r="I345" s="28">
        <v>54.1</v>
      </c>
      <c r="J345" s="28">
        <v>7.9</v>
      </c>
      <c r="K345" s="28">
        <v>0</v>
      </c>
      <c r="L345" s="408"/>
    </row>
    <row r="346" spans="1:12" ht="80.25" customHeight="1" x14ac:dyDescent="0.3">
      <c r="A346" s="401"/>
      <c r="B346" s="402"/>
      <c r="C346" s="402"/>
      <c r="D346" s="403"/>
      <c r="E346" s="300"/>
      <c r="F346" s="284"/>
      <c r="G346" s="240" t="s">
        <v>151</v>
      </c>
      <c r="H346" s="28">
        <f t="shared" si="33"/>
        <v>17000</v>
      </c>
      <c r="I346" s="28">
        <v>0</v>
      </c>
      <c r="J346" s="28">
        <v>0</v>
      </c>
      <c r="K346" s="28">
        <v>17000</v>
      </c>
      <c r="L346" s="408"/>
    </row>
    <row r="347" spans="1:12" ht="95.25" customHeight="1" x14ac:dyDescent="0.3">
      <c r="A347" s="401"/>
      <c r="B347" s="402"/>
      <c r="C347" s="402"/>
      <c r="D347" s="403"/>
      <c r="E347" s="299" t="s">
        <v>247</v>
      </c>
      <c r="F347" s="284"/>
      <c r="G347" s="240" t="s">
        <v>151</v>
      </c>
      <c r="H347" s="28">
        <f t="shared" si="33"/>
        <v>6000</v>
      </c>
      <c r="I347" s="28">
        <v>0</v>
      </c>
      <c r="J347" s="28">
        <v>0</v>
      </c>
      <c r="K347" s="28">
        <v>6000</v>
      </c>
      <c r="L347" s="408"/>
    </row>
    <row r="348" spans="1:12" ht="95.25" customHeight="1" x14ac:dyDescent="0.3">
      <c r="A348" s="401"/>
      <c r="B348" s="402"/>
      <c r="C348" s="402"/>
      <c r="D348" s="403"/>
      <c r="E348" s="300"/>
      <c r="F348" s="284"/>
      <c r="G348" s="240" t="s">
        <v>148</v>
      </c>
      <c r="H348" s="28">
        <f>I348+J348+K348</f>
        <v>142.80000000000001</v>
      </c>
      <c r="I348" s="28">
        <v>0</v>
      </c>
      <c r="J348" s="28">
        <v>142.80000000000001</v>
      </c>
      <c r="K348" s="28">
        <v>0</v>
      </c>
      <c r="L348" s="408"/>
    </row>
    <row r="349" spans="1:12" ht="82.5" customHeight="1" x14ac:dyDescent="0.3">
      <c r="A349" s="401"/>
      <c r="B349" s="402"/>
      <c r="C349" s="402"/>
      <c r="D349" s="403"/>
      <c r="E349" s="299" t="s">
        <v>55</v>
      </c>
      <c r="F349" s="284"/>
      <c r="G349" s="240" t="s">
        <v>148</v>
      </c>
      <c r="H349" s="28">
        <f t="shared" si="33"/>
        <v>72</v>
      </c>
      <c r="I349" s="28">
        <v>64.099999999999994</v>
      </c>
      <c r="J349" s="28">
        <v>7.9</v>
      </c>
      <c r="K349" s="28">
        <v>0</v>
      </c>
      <c r="L349" s="408"/>
    </row>
    <row r="350" spans="1:12" ht="84.75" customHeight="1" x14ac:dyDescent="0.3">
      <c r="A350" s="401"/>
      <c r="B350" s="402"/>
      <c r="C350" s="402"/>
      <c r="D350" s="403"/>
      <c r="E350" s="300"/>
      <c r="F350" s="284"/>
      <c r="G350" s="240" t="s">
        <v>151</v>
      </c>
      <c r="H350" s="28">
        <f t="shared" si="33"/>
        <v>10824.8</v>
      </c>
      <c r="I350" s="28">
        <v>0</v>
      </c>
      <c r="J350" s="28">
        <v>10824.8</v>
      </c>
      <c r="K350" s="28">
        <v>0</v>
      </c>
      <c r="L350" s="408"/>
    </row>
    <row r="351" spans="1:12" ht="89.25" hidden="1" customHeight="1" x14ac:dyDescent="0.3">
      <c r="A351" s="401"/>
      <c r="B351" s="402"/>
      <c r="C351" s="402"/>
      <c r="D351" s="403"/>
      <c r="E351" s="244" t="s">
        <v>137</v>
      </c>
      <c r="F351" s="284"/>
      <c r="G351" s="240" t="s">
        <v>151</v>
      </c>
      <c r="H351" s="28">
        <f t="shared" si="33"/>
        <v>0</v>
      </c>
      <c r="I351" s="28"/>
      <c r="J351" s="28">
        <v>0</v>
      </c>
      <c r="K351" s="28">
        <v>0</v>
      </c>
      <c r="L351" s="408"/>
    </row>
    <row r="352" spans="1:12" ht="92.25" customHeight="1" x14ac:dyDescent="0.3">
      <c r="A352" s="401"/>
      <c r="B352" s="402"/>
      <c r="C352" s="402"/>
      <c r="D352" s="403"/>
      <c r="E352" s="299" t="s">
        <v>51</v>
      </c>
      <c r="F352" s="284"/>
      <c r="G352" s="240" t="s">
        <v>148</v>
      </c>
      <c r="H352" s="28">
        <f t="shared" si="33"/>
        <v>54.8</v>
      </c>
      <c r="I352" s="28">
        <v>46.8</v>
      </c>
      <c r="J352" s="28">
        <v>8</v>
      </c>
      <c r="K352" s="28">
        <v>0</v>
      </c>
      <c r="L352" s="408"/>
    </row>
    <row r="353" spans="1:12" ht="108" customHeight="1" x14ac:dyDescent="0.3">
      <c r="A353" s="401"/>
      <c r="B353" s="402"/>
      <c r="C353" s="402"/>
      <c r="D353" s="403"/>
      <c r="E353" s="310"/>
      <c r="F353" s="284"/>
      <c r="G353" s="240" t="s">
        <v>139</v>
      </c>
      <c r="H353" s="26">
        <f t="shared" si="33"/>
        <v>6367.1</v>
      </c>
      <c r="I353" s="28">
        <v>0</v>
      </c>
      <c r="J353" s="28">
        <f>420+947.1</f>
        <v>1367.1</v>
      </c>
      <c r="K353" s="33">
        <v>5000</v>
      </c>
      <c r="L353" s="408"/>
    </row>
    <row r="354" spans="1:12" ht="92.25" hidden="1" customHeight="1" x14ac:dyDescent="0.3">
      <c r="A354" s="401"/>
      <c r="B354" s="402"/>
      <c r="C354" s="402"/>
      <c r="D354" s="403"/>
      <c r="E354" s="310"/>
      <c r="F354" s="284"/>
      <c r="G354" s="221" t="s">
        <v>127</v>
      </c>
      <c r="H354" s="31">
        <f t="shared" si="33"/>
        <v>0</v>
      </c>
      <c r="I354" s="29">
        <v>0</v>
      </c>
      <c r="J354" s="29">
        <v>0</v>
      </c>
      <c r="K354" s="31">
        <v>0</v>
      </c>
      <c r="L354" s="408"/>
    </row>
    <row r="355" spans="1:12" ht="92.25" customHeight="1" x14ac:dyDescent="0.3">
      <c r="A355" s="404"/>
      <c r="B355" s="405"/>
      <c r="C355" s="405"/>
      <c r="D355" s="406"/>
      <c r="E355" s="300"/>
      <c r="F355" s="285"/>
      <c r="G355" s="240" t="s">
        <v>59</v>
      </c>
      <c r="H355" s="26">
        <f t="shared" si="33"/>
        <v>4200</v>
      </c>
      <c r="I355" s="28">
        <v>0</v>
      </c>
      <c r="J355" s="28">
        <v>4200</v>
      </c>
      <c r="K355" s="28">
        <v>0</v>
      </c>
      <c r="L355" s="409"/>
    </row>
    <row r="356" spans="1:12" ht="97.5" hidden="1" customHeight="1" x14ac:dyDescent="0.3">
      <c r="A356" s="67" t="s">
        <v>111</v>
      </c>
      <c r="B356" s="341" t="s">
        <v>135</v>
      </c>
      <c r="C356" s="341"/>
      <c r="D356" s="341"/>
      <c r="E356" s="341"/>
      <c r="F356" s="341"/>
      <c r="G356" s="248" t="s">
        <v>60</v>
      </c>
      <c r="H356" s="26">
        <f>H361+H362+H360+H359+H358+H357</f>
        <v>0</v>
      </c>
      <c r="I356" s="26">
        <f>I361+I362+I360+I359+I358+I357</f>
        <v>0</v>
      </c>
      <c r="J356" s="26">
        <f>J361+J362+J360+J359+J358+J357</f>
        <v>0</v>
      </c>
      <c r="K356" s="26">
        <f>K361+K362+K360+K359+K358+K357</f>
        <v>0</v>
      </c>
      <c r="L356" s="231"/>
    </row>
    <row r="357" spans="1:12" ht="92.25" hidden="1" customHeight="1" x14ac:dyDescent="0.3">
      <c r="A357" s="442" t="s">
        <v>101</v>
      </c>
      <c r="B357" s="443"/>
      <c r="C357" s="443"/>
      <c r="D357" s="444"/>
      <c r="E357" s="220" t="s">
        <v>58</v>
      </c>
      <c r="F357" s="243"/>
      <c r="G357" s="333" t="s">
        <v>70</v>
      </c>
      <c r="H357" s="28">
        <f t="shared" ref="H357:H362" si="34">I357+J357+K357</f>
        <v>0</v>
      </c>
      <c r="I357" s="103"/>
      <c r="J357" s="26">
        <v>0</v>
      </c>
      <c r="K357" s="26">
        <v>0</v>
      </c>
      <c r="L357" s="232"/>
    </row>
    <row r="358" spans="1:12" ht="294" hidden="1" customHeight="1" x14ac:dyDescent="0.3">
      <c r="A358" s="68"/>
      <c r="B358" s="68"/>
      <c r="C358" s="68"/>
      <c r="D358" s="68"/>
      <c r="E358" s="220" t="s">
        <v>51</v>
      </c>
      <c r="F358" s="248"/>
      <c r="G358" s="339"/>
      <c r="H358" s="28">
        <f t="shared" si="34"/>
        <v>0</v>
      </c>
      <c r="I358" s="103"/>
      <c r="J358" s="28">
        <v>0</v>
      </c>
      <c r="K358" s="28">
        <v>0</v>
      </c>
      <c r="L358" s="246" t="s">
        <v>207</v>
      </c>
    </row>
    <row r="359" spans="1:12" ht="167.1" hidden="1" customHeight="1" x14ac:dyDescent="0.3">
      <c r="A359" s="69"/>
      <c r="B359" s="69"/>
      <c r="C359" s="69"/>
      <c r="D359" s="69"/>
      <c r="E359" s="226" t="s">
        <v>137</v>
      </c>
      <c r="F359" s="239"/>
      <c r="G359" s="334"/>
      <c r="H359" s="28">
        <f t="shared" si="34"/>
        <v>0</v>
      </c>
      <c r="I359" s="103"/>
      <c r="J359" s="26">
        <v>0</v>
      </c>
      <c r="K359" s="28">
        <v>0</v>
      </c>
      <c r="L359" s="246" t="s">
        <v>249</v>
      </c>
    </row>
    <row r="360" spans="1:12" ht="92.25" hidden="1" customHeight="1" x14ac:dyDescent="0.3">
      <c r="A360" s="69"/>
      <c r="B360" s="69"/>
      <c r="C360" s="69"/>
      <c r="D360" s="69"/>
      <c r="E360" s="220" t="s">
        <v>58</v>
      </c>
      <c r="F360" s="239"/>
      <c r="G360" s="342"/>
      <c r="H360" s="28">
        <f t="shared" si="34"/>
        <v>0</v>
      </c>
      <c r="I360" s="28"/>
      <c r="J360" s="26"/>
      <c r="K360" s="28"/>
      <c r="L360" s="232"/>
    </row>
    <row r="361" spans="1:12" ht="147.75" hidden="1" customHeight="1" x14ac:dyDescent="0.3">
      <c r="A361" s="69"/>
      <c r="B361" s="69"/>
      <c r="C361" s="69"/>
      <c r="D361" s="69"/>
      <c r="E361" s="220" t="s">
        <v>51</v>
      </c>
      <c r="F361" s="239"/>
      <c r="G361" s="342"/>
      <c r="H361" s="28">
        <f t="shared" si="34"/>
        <v>0</v>
      </c>
      <c r="I361" s="28"/>
      <c r="J361" s="26"/>
      <c r="K361" s="28"/>
      <c r="L361" s="232"/>
    </row>
    <row r="362" spans="1:12" ht="128.25" hidden="1" customHeight="1" x14ac:dyDescent="0.3">
      <c r="A362" s="69"/>
      <c r="B362" s="69"/>
      <c r="C362" s="69"/>
      <c r="D362" s="69"/>
      <c r="E362" s="226" t="s">
        <v>137</v>
      </c>
      <c r="F362" s="239"/>
      <c r="G362" s="342"/>
      <c r="H362" s="28">
        <f t="shared" si="34"/>
        <v>0</v>
      </c>
      <c r="I362" s="28"/>
      <c r="J362" s="26"/>
      <c r="K362" s="28"/>
      <c r="L362" s="233"/>
    </row>
    <row r="363" spans="1:12" ht="158.25" hidden="1" customHeight="1" x14ac:dyDescent="0.3">
      <c r="A363" s="255" t="s">
        <v>112</v>
      </c>
      <c r="B363" s="341" t="s">
        <v>134</v>
      </c>
      <c r="C363" s="341"/>
      <c r="D363" s="341"/>
      <c r="E363" s="341"/>
      <c r="F363" s="341"/>
      <c r="G363" s="248" t="s">
        <v>60</v>
      </c>
      <c r="H363" s="26">
        <f>H364</f>
        <v>0</v>
      </c>
      <c r="I363" s="26">
        <f>I364</f>
        <v>0</v>
      </c>
      <c r="J363" s="26">
        <f>J364</f>
        <v>0</v>
      </c>
      <c r="K363" s="26">
        <f>K364</f>
        <v>0</v>
      </c>
      <c r="L363" s="299"/>
    </row>
    <row r="364" spans="1:12" ht="126.75" hidden="1" customHeight="1" x14ac:dyDescent="0.3">
      <c r="A364" s="410" t="s">
        <v>101</v>
      </c>
      <c r="B364" s="411"/>
      <c r="C364" s="411"/>
      <c r="D364" s="412"/>
      <c r="E364" s="220"/>
      <c r="F364" s="248"/>
      <c r="G364" s="240" t="s">
        <v>130</v>
      </c>
      <c r="H364" s="26">
        <f>I364+J364+K364</f>
        <v>0</v>
      </c>
      <c r="I364" s="28"/>
      <c r="J364" s="28"/>
      <c r="K364" s="28"/>
      <c r="L364" s="300"/>
    </row>
    <row r="365" spans="1:12" ht="100.5" hidden="1" customHeight="1" x14ac:dyDescent="0.3">
      <c r="A365" s="255" t="s">
        <v>113</v>
      </c>
      <c r="B365" s="341" t="s">
        <v>102</v>
      </c>
      <c r="C365" s="341"/>
      <c r="D365" s="341"/>
      <c r="E365" s="341"/>
      <c r="F365" s="341"/>
      <c r="G365" s="248" t="s">
        <v>60</v>
      </c>
      <c r="H365" s="26">
        <f>H366</f>
        <v>0</v>
      </c>
      <c r="I365" s="26">
        <f>I366</f>
        <v>0</v>
      </c>
      <c r="J365" s="26">
        <f>J366</f>
        <v>0</v>
      </c>
      <c r="K365" s="26">
        <f>K366</f>
        <v>0</v>
      </c>
      <c r="L365" s="299" t="s">
        <v>45</v>
      </c>
    </row>
    <row r="366" spans="1:12" ht="68.25" hidden="1" customHeight="1" x14ac:dyDescent="0.3">
      <c r="A366" s="417"/>
      <c r="B366" s="417"/>
      <c r="C366" s="417"/>
      <c r="D366" s="417"/>
      <c r="E366" s="220" t="s">
        <v>61</v>
      </c>
      <c r="F366" s="256"/>
      <c r="G366" s="333" t="s">
        <v>139</v>
      </c>
      <c r="H366" s="26">
        <f>H367+H368+H369+H371+H370</f>
        <v>0</v>
      </c>
      <c r="I366" s="26"/>
      <c r="J366" s="26"/>
      <c r="K366" s="26"/>
      <c r="L366" s="310"/>
    </row>
    <row r="367" spans="1:12" ht="60" hidden="1" customHeight="1" x14ac:dyDescent="0.3">
      <c r="A367" s="438" t="s">
        <v>101</v>
      </c>
      <c r="B367" s="439"/>
      <c r="C367" s="439"/>
      <c r="D367" s="439"/>
      <c r="E367" s="220" t="s">
        <v>52</v>
      </c>
      <c r="F367" s="256"/>
      <c r="G367" s="339"/>
      <c r="H367" s="26">
        <f>I367+J367+K367</f>
        <v>0</v>
      </c>
      <c r="I367" s="103"/>
      <c r="J367" s="28"/>
      <c r="K367" s="28"/>
      <c r="L367" s="310"/>
    </row>
    <row r="368" spans="1:12" ht="87.75" hidden="1" customHeight="1" x14ac:dyDescent="0.3">
      <c r="A368" s="440"/>
      <c r="B368" s="441"/>
      <c r="C368" s="441"/>
      <c r="D368" s="441"/>
      <c r="E368" s="220" t="s">
        <v>53</v>
      </c>
      <c r="F368" s="256"/>
      <c r="G368" s="339"/>
      <c r="H368" s="26">
        <f>I368+J368+K368</f>
        <v>0</v>
      </c>
      <c r="I368" s="28"/>
      <c r="J368" s="28"/>
      <c r="K368" s="28"/>
      <c r="L368" s="310"/>
    </row>
    <row r="369" spans="1:12" ht="102.75" hidden="1" customHeight="1" x14ac:dyDescent="0.3">
      <c r="A369" s="440"/>
      <c r="B369" s="441"/>
      <c r="C369" s="441"/>
      <c r="D369" s="441"/>
      <c r="E369" s="226" t="s">
        <v>55</v>
      </c>
      <c r="F369" s="256"/>
      <c r="G369" s="339"/>
      <c r="H369" s="26">
        <f>I369+J369+K369</f>
        <v>0</v>
      </c>
      <c r="I369" s="103"/>
      <c r="J369" s="28"/>
      <c r="K369" s="28"/>
      <c r="L369" s="310"/>
    </row>
    <row r="370" spans="1:12" ht="77.25" hidden="1" customHeight="1" x14ac:dyDescent="0.3">
      <c r="A370" s="249"/>
      <c r="B370" s="250"/>
      <c r="C370" s="250"/>
      <c r="D370" s="250"/>
      <c r="E370" s="220" t="s">
        <v>137</v>
      </c>
      <c r="F370" s="70"/>
      <c r="G370" s="339"/>
      <c r="H370" s="26">
        <f>I370+J370+K370</f>
        <v>0</v>
      </c>
      <c r="I370" s="103"/>
      <c r="J370" s="28"/>
      <c r="K370" s="28"/>
      <c r="L370" s="227"/>
    </row>
    <row r="371" spans="1:12" ht="70.5" hidden="1" customHeight="1" x14ac:dyDescent="0.3">
      <c r="A371" s="249"/>
      <c r="B371" s="250"/>
      <c r="C371" s="250"/>
      <c r="D371" s="250"/>
      <c r="E371" s="220" t="s">
        <v>51</v>
      </c>
      <c r="F371" s="70"/>
      <c r="G371" s="334"/>
      <c r="H371" s="26">
        <f>I371+J371+K371</f>
        <v>0</v>
      </c>
      <c r="I371" s="71"/>
      <c r="J371" s="71"/>
      <c r="K371" s="71"/>
      <c r="L371" s="227"/>
    </row>
    <row r="372" spans="1:12" ht="93.75" customHeight="1" x14ac:dyDescent="0.3">
      <c r="A372" s="72" t="s">
        <v>111</v>
      </c>
      <c r="B372" s="106" t="s">
        <v>103</v>
      </c>
      <c r="C372" s="76"/>
      <c r="D372" s="76"/>
      <c r="E372" s="76"/>
      <c r="F372" s="73"/>
      <c r="G372" s="239" t="s">
        <v>60</v>
      </c>
      <c r="H372" s="74">
        <f>SUM(H373:H383)</f>
        <v>3437372</v>
      </c>
      <c r="I372" s="74">
        <f>SUM(I373:I383)</f>
        <v>1199286.8</v>
      </c>
      <c r="J372" s="74">
        <f>SUM(J373:J383)</f>
        <v>1220840.2000000002</v>
      </c>
      <c r="K372" s="74">
        <f>SUM(K373:K383)</f>
        <v>1017245</v>
      </c>
      <c r="L372" s="407" t="s">
        <v>140</v>
      </c>
    </row>
    <row r="373" spans="1:12" ht="75" customHeight="1" x14ac:dyDescent="0.3">
      <c r="A373" s="429" t="s">
        <v>101</v>
      </c>
      <c r="B373" s="430"/>
      <c r="C373" s="430"/>
      <c r="D373" s="431"/>
      <c r="E373" s="220" t="s">
        <v>58</v>
      </c>
      <c r="F373" s="416"/>
      <c r="G373" s="333" t="s">
        <v>62</v>
      </c>
      <c r="H373" s="107">
        <f>I373+J373+K373</f>
        <v>1005381.9</v>
      </c>
      <c r="I373" s="28">
        <v>290904.7</v>
      </c>
      <c r="J373" s="28">
        <v>310577.2</v>
      </c>
      <c r="K373" s="28">
        <v>403900</v>
      </c>
      <c r="L373" s="408"/>
    </row>
    <row r="374" spans="1:12" ht="75" customHeight="1" x14ac:dyDescent="0.3">
      <c r="A374" s="432"/>
      <c r="B374" s="433"/>
      <c r="C374" s="433"/>
      <c r="D374" s="434"/>
      <c r="E374" s="220" t="s">
        <v>52</v>
      </c>
      <c r="F374" s="374"/>
      <c r="G374" s="339"/>
      <c r="H374" s="26">
        <f t="shared" ref="H374:H383" si="35">I374+J374+K374</f>
        <v>269409.8</v>
      </c>
      <c r="I374" s="28">
        <v>98845.8</v>
      </c>
      <c r="J374" s="28">
        <v>98564</v>
      </c>
      <c r="K374" s="28">
        <v>72000</v>
      </c>
      <c r="L374" s="408"/>
    </row>
    <row r="375" spans="1:12" ht="75" customHeight="1" x14ac:dyDescent="0.3">
      <c r="A375" s="432"/>
      <c r="B375" s="433"/>
      <c r="C375" s="433"/>
      <c r="D375" s="434"/>
      <c r="E375" s="220" t="s">
        <v>53</v>
      </c>
      <c r="F375" s="374"/>
      <c r="G375" s="339"/>
      <c r="H375" s="26">
        <f t="shared" si="35"/>
        <v>710895.6</v>
      </c>
      <c r="I375" s="28">
        <v>280810.3</v>
      </c>
      <c r="J375" s="28">
        <v>276377.2</v>
      </c>
      <c r="K375" s="28">
        <v>153708.1</v>
      </c>
      <c r="L375" s="408"/>
    </row>
    <row r="376" spans="1:12" ht="75" customHeight="1" x14ac:dyDescent="0.3">
      <c r="A376" s="432"/>
      <c r="B376" s="433"/>
      <c r="C376" s="433"/>
      <c r="D376" s="434"/>
      <c r="E376" s="220" t="s">
        <v>51</v>
      </c>
      <c r="F376" s="374"/>
      <c r="G376" s="339"/>
      <c r="H376" s="26">
        <f t="shared" si="35"/>
        <v>145519.5</v>
      </c>
      <c r="I376" s="28">
        <v>67676.7</v>
      </c>
      <c r="J376" s="28">
        <v>77727.3</v>
      </c>
      <c r="K376" s="28">
        <v>115.5</v>
      </c>
      <c r="L376" s="408"/>
    </row>
    <row r="377" spans="1:12" ht="93.75" customHeight="1" x14ac:dyDescent="0.3">
      <c r="A377" s="432"/>
      <c r="B377" s="433"/>
      <c r="C377" s="433"/>
      <c r="D377" s="434"/>
      <c r="E377" s="226" t="s">
        <v>55</v>
      </c>
      <c r="F377" s="374"/>
      <c r="G377" s="339"/>
      <c r="H377" s="26">
        <f t="shared" si="35"/>
        <v>287281.09999999998</v>
      </c>
      <c r="I377" s="28">
        <v>103368.3</v>
      </c>
      <c r="J377" s="28">
        <v>101912.8</v>
      </c>
      <c r="K377" s="28">
        <v>82000</v>
      </c>
      <c r="L377" s="408"/>
    </row>
    <row r="378" spans="1:12" ht="75" customHeight="1" x14ac:dyDescent="0.3">
      <c r="A378" s="432"/>
      <c r="B378" s="433"/>
      <c r="C378" s="433"/>
      <c r="D378" s="434"/>
      <c r="E378" s="226" t="s">
        <v>54</v>
      </c>
      <c r="F378" s="374"/>
      <c r="G378" s="339"/>
      <c r="H378" s="26">
        <f t="shared" si="35"/>
        <v>951.80000000000007</v>
      </c>
      <c r="I378" s="28">
        <v>303.10000000000002</v>
      </c>
      <c r="J378" s="28">
        <v>303.10000000000002</v>
      </c>
      <c r="K378" s="28">
        <v>345.6</v>
      </c>
      <c r="L378" s="408"/>
    </row>
    <row r="379" spans="1:12" ht="75" customHeight="1" x14ac:dyDescent="0.3">
      <c r="A379" s="432"/>
      <c r="B379" s="433"/>
      <c r="C379" s="433"/>
      <c r="D379" s="434"/>
      <c r="E379" s="220" t="s">
        <v>137</v>
      </c>
      <c r="F379" s="374"/>
      <c r="G379" s="339"/>
      <c r="H379" s="26">
        <f t="shared" si="35"/>
        <v>500191.7</v>
      </c>
      <c r="I379" s="28">
        <v>163191.70000000001</v>
      </c>
      <c r="J379" s="28">
        <v>178000</v>
      </c>
      <c r="K379" s="28">
        <v>159000</v>
      </c>
      <c r="L379" s="408"/>
    </row>
    <row r="380" spans="1:12" ht="75" customHeight="1" x14ac:dyDescent="0.3">
      <c r="A380" s="432"/>
      <c r="B380" s="433"/>
      <c r="C380" s="433"/>
      <c r="D380" s="434"/>
      <c r="E380" s="220" t="s">
        <v>56</v>
      </c>
      <c r="F380" s="374"/>
      <c r="G380" s="339"/>
      <c r="H380" s="26">
        <f t="shared" si="35"/>
        <v>253622.90000000002</v>
      </c>
      <c r="I380" s="28">
        <v>92957.5</v>
      </c>
      <c r="J380" s="28">
        <v>86013.6</v>
      </c>
      <c r="K380" s="28">
        <v>74651.8</v>
      </c>
      <c r="L380" s="408"/>
    </row>
    <row r="381" spans="1:12" ht="75" customHeight="1" x14ac:dyDescent="0.3">
      <c r="A381" s="432"/>
      <c r="B381" s="433"/>
      <c r="C381" s="433"/>
      <c r="D381" s="434"/>
      <c r="E381" s="220" t="s">
        <v>57</v>
      </c>
      <c r="F381" s="375"/>
      <c r="G381" s="334"/>
      <c r="H381" s="26">
        <f t="shared" si="35"/>
        <v>264117.7</v>
      </c>
      <c r="I381" s="28">
        <v>101228.7</v>
      </c>
      <c r="J381" s="28">
        <v>91365</v>
      </c>
      <c r="K381" s="28">
        <v>71524</v>
      </c>
      <c r="L381" s="408"/>
    </row>
    <row r="382" spans="1:12" ht="92.25" hidden="1" customHeight="1" x14ac:dyDescent="0.3">
      <c r="A382" s="432"/>
      <c r="B382" s="433"/>
      <c r="C382" s="433"/>
      <c r="D382" s="434"/>
      <c r="E382" s="220" t="s">
        <v>120</v>
      </c>
      <c r="F382" s="248"/>
      <c r="G382" s="105"/>
      <c r="H382" s="26">
        <f t="shared" si="35"/>
        <v>0</v>
      </c>
      <c r="I382" s="28"/>
      <c r="J382" s="28"/>
      <c r="K382" s="28"/>
      <c r="L382" s="408"/>
    </row>
    <row r="383" spans="1:12" ht="104.25" hidden="1" customHeight="1" x14ac:dyDescent="0.3">
      <c r="A383" s="435"/>
      <c r="B383" s="436"/>
      <c r="C383" s="436"/>
      <c r="D383" s="437"/>
      <c r="E383" s="220" t="s">
        <v>121</v>
      </c>
      <c r="F383" s="248"/>
      <c r="G383" s="105"/>
      <c r="H383" s="26">
        <f t="shared" si="35"/>
        <v>0</v>
      </c>
      <c r="I383" s="28"/>
      <c r="J383" s="28"/>
      <c r="K383" s="28"/>
      <c r="L383" s="409"/>
    </row>
    <row r="384" spans="1:12" ht="75" customHeight="1" x14ac:dyDescent="0.3">
      <c r="A384" s="72" t="s">
        <v>112</v>
      </c>
      <c r="B384" s="75" t="s">
        <v>104</v>
      </c>
      <c r="C384" s="76"/>
      <c r="D384" s="73"/>
      <c r="E384" s="76"/>
      <c r="F384" s="73"/>
      <c r="G384" s="248" t="s">
        <v>60</v>
      </c>
      <c r="H384" s="74">
        <f>SUM(H385:H393)</f>
        <v>172113.58058749998</v>
      </c>
      <c r="I384" s="74">
        <f>SUM(I385:I393)</f>
        <v>57886</v>
      </c>
      <c r="J384" s="74">
        <f>SUM(J385:J393)</f>
        <v>61681.5</v>
      </c>
      <c r="K384" s="74">
        <f>SUM(K385:K393)</f>
        <v>52546.080587499993</v>
      </c>
      <c r="L384" s="393" t="s">
        <v>71</v>
      </c>
    </row>
    <row r="385" spans="1:12" ht="75" customHeight="1" x14ac:dyDescent="0.3">
      <c r="A385" s="384" t="s">
        <v>101</v>
      </c>
      <c r="B385" s="385"/>
      <c r="C385" s="385"/>
      <c r="D385" s="385"/>
      <c r="E385" s="220" t="s">
        <v>58</v>
      </c>
      <c r="F385" s="413"/>
      <c r="G385" s="333" t="s">
        <v>65</v>
      </c>
      <c r="H385" s="26">
        <f t="shared" ref="H385:H393" si="36">I385+J385+K385</f>
        <v>21641.9</v>
      </c>
      <c r="I385" s="28">
        <v>3345</v>
      </c>
      <c r="J385" s="28">
        <v>6296.9</v>
      </c>
      <c r="K385" s="28">
        <v>12000</v>
      </c>
      <c r="L385" s="393"/>
    </row>
    <row r="386" spans="1:12" ht="75" customHeight="1" x14ac:dyDescent="0.3">
      <c r="A386" s="387"/>
      <c r="B386" s="388"/>
      <c r="C386" s="388"/>
      <c r="D386" s="388"/>
      <c r="E386" s="220" t="s">
        <v>52</v>
      </c>
      <c r="F386" s="414"/>
      <c r="G386" s="339"/>
      <c r="H386" s="26">
        <f t="shared" si="36"/>
        <v>39230.9</v>
      </c>
      <c r="I386" s="28">
        <v>13524.5</v>
      </c>
      <c r="J386" s="28">
        <v>14006.4</v>
      </c>
      <c r="K386" s="28">
        <v>11700</v>
      </c>
      <c r="L386" s="393"/>
    </row>
    <row r="387" spans="1:12" ht="75" customHeight="1" x14ac:dyDescent="0.3">
      <c r="A387" s="387"/>
      <c r="B387" s="388"/>
      <c r="C387" s="388"/>
      <c r="D387" s="388"/>
      <c r="E387" s="220" t="s">
        <v>53</v>
      </c>
      <c r="F387" s="414"/>
      <c r="G387" s="339"/>
      <c r="H387" s="26">
        <f t="shared" si="36"/>
        <v>11273.080587499999</v>
      </c>
      <c r="I387" s="28">
        <v>4685.3</v>
      </c>
      <c r="J387" s="28">
        <v>4939</v>
      </c>
      <c r="K387" s="28">
        <v>1648.7805874999995</v>
      </c>
      <c r="L387" s="393"/>
    </row>
    <row r="388" spans="1:12" ht="75" customHeight="1" x14ac:dyDescent="0.3">
      <c r="A388" s="387"/>
      <c r="B388" s="388"/>
      <c r="C388" s="388"/>
      <c r="D388" s="388"/>
      <c r="E388" s="220" t="s">
        <v>51</v>
      </c>
      <c r="F388" s="414"/>
      <c r="G388" s="339"/>
      <c r="H388" s="26">
        <f t="shared" si="36"/>
        <v>8303.1999999999989</v>
      </c>
      <c r="I388" s="28">
        <v>3197.5</v>
      </c>
      <c r="J388" s="28">
        <v>3446.9</v>
      </c>
      <c r="K388" s="28">
        <v>1658.8</v>
      </c>
      <c r="L388" s="393"/>
    </row>
    <row r="389" spans="1:12" ht="75" customHeight="1" x14ac:dyDescent="0.3">
      <c r="A389" s="387"/>
      <c r="B389" s="388"/>
      <c r="C389" s="388"/>
      <c r="D389" s="388"/>
      <c r="E389" s="220" t="s">
        <v>137</v>
      </c>
      <c r="F389" s="414"/>
      <c r="G389" s="339"/>
      <c r="H389" s="26">
        <f>I389+J389+K389</f>
        <v>14064</v>
      </c>
      <c r="I389" s="28">
        <v>4084</v>
      </c>
      <c r="J389" s="28">
        <v>4800</v>
      </c>
      <c r="K389" s="28">
        <v>5180</v>
      </c>
      <c r="L389" s="393"/>
    </row>
    <row r="390" spans="1:12" ht="86.25" customHeight="1" x14ac:dyDescent="0.3">
      <c r="A390" s="387"/>
      <c r="B390" s="388"/>
      <c r="C390" s="388"/>
      <c r="D390" s="388"/>
      <c r="E390" s="220" t="s">
        <v>55</v>
      </c>
      <c r="F390" s="414"/>
      <c r="G390" s="339"/>
      <c r="H390" s="26">
        <f t="shared" si="36"/>
        <v>30623.5</v>
      </c>
      <c r="I390" s="28">
        <v>12066.9</v>
      </c>
      <c r="J390" s="28">
        <v>9556.6</v>
      </c>
      <c r="K390" s="28">
        <v>9000</v>
      </c>
      <c r="L390" s="393"/>
    </row>
    <row r="391" spans="1:12" ht="77.25" customHeight="1" x14ac:dyDescent="0.3">
      <c r="A391" s="387"/>
      <c r="B391" s="388"/>
      <c r="C391" s="388"/>
      <c r="D391" s="388"/>
      <c r="E391" s="220" t="s">
        <v>54</v>
      </c>
      <c r="F391" s="414"/>
      <c r="G391" s="339"/>
      <c r="H391" s="26">
        <f t="shared" si="36"/>
        <v>41053.199999999997</v>
      </c>
      <c r="I391" s="28">
        <v>14040.5</v>
      </c>
      <c r="J391" s="28">
        <v>16112.7</v>
      </c>
      <c r="K391" s="28">
        <v>10900</v>
      </c>
      <c r="L391" s="393"/>
    </row>
    <row r="392" spans="1:12" ht="77.25" customHeight="1" x14ac:dyDescent="0.3">
      <c r="A392" s="387"/>
      <c r="B392" s="388"/>
      <c r="C392" s="388"/>
      <c r="D392" s="388"/>
      <c r="E392" s="220" t="s">
        <v>248</v>
      </c>
      <c r="F392" s="414"/>
      <c r="G392" s="339"/>
      <c r="H392" s="26">
        <f t="shared" si="36"/>
        <v>2262.9</v>
      </c>
      <c r="I392" s="28">
        <v>914.5</v>
      </c>
      <c r="J392" s="28">
        <v>1109.5</v>
      </c>
      <c r="K392" s="28">
        <v>238.9</v>
      </c>
      <c r="L392" s="393"/>
    </row>
    <row r="393" spans="1:12" ht="77.25" customHeight="1" x14ac:dyDescent="0.3">
      <c r="A393" s="390"/>
      <c r="B393" s="391"/>
      <c r="C393" s="391"/>
      <c r="D393" s="391"/>
      <c r="E393" s="220" t="s">
        <v>57</v>
      </c>
      <c r="F393" s="415"/>
      <c r="G393" s="334"/>
      <c r="H393" s="26">
        <f t="shared" si="36"/>
        <v>3660.9</v>
      </c>
      <c r="I393" s="28">
        <v>2027.8</v>
      </c>
      <c r="J393" s="28">
        <v>1413.5</v>
      </c>
      <c r="K393" s="28">
        <v>219.6</v>
      </c>
      <c r="L393" s="393"/>
    </row>
    <row r="394" spans="1:12" ht="50.25" customHeight="1" x14ac:dyDescent="0.3">
      <c r="A394" s="376" t="s">
        <v>63</v>
      </c>
      <c r="B394" s="377"/>
      <c r="C394" s="377"/>
      <c r="D394" s="377"/>
      <c r="E394" s="377"/>
      <c r="F394" s="378"/>
      <c r="G394" s="65"/>
      <c r="H394" s="26">
        <f>H289+H335+H341+H356+H363+H365+H372+H384</f>
        <v>4477525.1255874997</v>
      </c>
      <c r="I394" s="26">
        <f>I289+I335+I341+I356+I363+I365+I372+I384</f>
        <v>1483037.32</v>
      </c>
      <c r="J394" s="26">
        <f>J289+J335+J341+J356+J363+J365+J372+J384</f>
        <v>1683284.6250000002</v>
      </c>
      <c r="K394" s="26">
        <f>K289+K335+K341+K356+K363+K365+K372+K384</f>
        <v>1311203.1805875001</v>
      </c>
      <c r="L394" s="381"/>
    </row>
    <row r="395" spans="1:12" ht="75" customHeight="1" x14ac:dyDescent="0.3">
      <c r="A395" s="395" t="s">
        <v>157</v>
      </c>
      <c r="B395" s="311"/>
      <c r="C395" s="311"/>
      <c r="D395" s="311"/>
      <c r="E395" s="311"/>
      <c r="F395" s="312"/>
      <c r="G395" s="240" t="s">
        <v>148</v>
      </c>
      <c r="H395" s="28">
        <f>H290+H335+H352+H345+H349+H360+H362+H361+H344+H348</f>
        <v>325699.5</v>
      </c>
      <c r="I395" s="28">
        <f>I290+I335+I352+I345+I349+I360+I362+I361+I344+I348</f>
        <v>101280.5</v>
      </c>
      <c r="J395" s="28">
        <f>J290+J335+J352+J345+J349+J360+J362+J361+J344+J348</f>
        <v>123306.9</v>
      </c>
      <c r="K395" s="28">
        <f>K290+K335+K352+K345+K349+K360+K362+K361+K344+K348</f>
        <v>101112.1</v>
      </c>
      <c r="L395" s="381"/>
    </row>
    <row r="396" spans="1:12" ht="75" customHeight="1" x14ac:dyDescent="0.3">
      <c r="A396" s="396"/>
      <c r="B396" s="313"/>
      <c r="C396" s="313"/>
      <c r="D396" s="313"/>
      <c r="E396" s="313"/>
      <c r="F396" s="314"/>
      <c r="G396" s="240" t="s">
        <v>151</v>
      </c>
      <c r="H396" s="28">
        <f>H291+H343+H350+H346+H347+H353+H351</f>
        <v>517472.42499999999</v>
      </c>
      <c r="I396" s="28">
        <f>I291+I343+I350+I346+I347+I353+I351</f>
        <v>105715.20000000001</v>
      </c>
      <c r="J396" s="28">
        <f>J291+J343+J350+J346+J347+J353+J351</f>
        <v>271457.22499999998</v>
      </c>
      <c r="K396" s="28">
        <f>K291+K343+K350+K346+K347+K353+K351</f>
        <v>140300</v>
      </c>
      <c r="L396" s="381"/>
    </row>
    <row r="397" spans="1:12" ht="75" customHeight="1" x14ac:dyDescent="0.3">
      <c r="A397" s="396"/>
      <c r="B397" s="313"/>
      <c r="C397" s="313"/>
      <c r="D397" s="313"/>
      <c r="E397" s="313"/>
      <c r="F397" s="314"/>
      <c r="G397" s="240" t="s">
        <v>70</v>
      </c>
      <c r="H397" s="28">
        <f>H357+H358+H359</f>
        <v>0</v>
      </c>
      <c r="I397" s="28">
        <f>I357+I358+I359</f>
        <v>0</v>
      </c>
      <c r="J397" s="28">
        <f>J357+J358+J359</f>
        <v>0</v>
      </c>
      <c r="K397" s="28">
        <f>K357+K358+K359</f>
        <v>0</v>
      </c>
      <c r="L397" s="381"/>
    </row>
    <row r="398" spans="1:12" ht="75" customHeight="1" x14ac:dyDescent="0.3">
      <c r="A398" s="396"/>
      <c r="B398" s="313"/>
      <c r="C398" s="313"/>
      <c r="D398" s="313"/>
      <c r="E398" s="313"/>
      <c r="F398" s="314"/>
      <c r="G398" s="240" t="s">
        <v>62</v>
      </c>
      <c r="H398" s="28">
        <f>H372</f>
        <v>3437372</v>
      </c>
      <c r="I398" s="28">
        <f>I372</f>
        <v>1199286.8</v>
      </c>
      <c r="J398" s="28">
        <f>J372</f>
        <v>1220840.2000000002</v>
      </c>
      <c r="K398" s="28">
        <f>K372</f>
        <v>1017245</v>
      </c>
      <c r="L398" s="381"/>
    </row>
    <row r="399" spans="1:12" ht="75" customHeight="1" x14ac:dyDescent="0.3">
      <c r="A399" s="396"/>
      <c r="B399" s="313"/>
      <c r="C399" s="313"/>
      <c r="D399" s="313"/>
      <c r="E399" s="313"/>
      <c r="F399" s="314"/>
      <c r="G399" s="240" t="s">
        <v>65</v>
      </c>
      <c r="H399" s="28">
        <f>H384</f>
        <v>172113.58058749998</v>
      </c>
      <c r="I399" s="28">
        <f>I384</f>
        <v>57886</v>
      </c>
      <c r="J399" s="28">
        <f>J384</f>
        <v>61681.5</v>
      </c>
      <c r="K399" s="28">
        <f>K384</f>
        <v>52546.080587499993</v>
      </c>
      <c r="L399" s="381"/>
    </row>
    <row r="400" spans="1:12" ht="327.75" customHeight="1" x14ac:dyDescent="0.3">
      <c r="A400" s="396"/>
      <c r="B400" s="313"/>
      <c r="C400" s="313"/>
      <c r="D400" s="313"/>
      <c r="E400" s="313"/>
      <c r="F400" s="314"/>
      <c r="G400" s="256" t="s">
        <v>311</v>
      </c>
      <c r="H400" s="28">
        <f>H292</f>
        <v>1836.72</v>
      </c>
      <c r="I400" s="28">
        <f>I292</f>
        <v>1836.72</v>
      </c>
      <c r="J400" s="28">
        <f>J292</f>
        <v>0</v>
      </c>
      <c r="K400" s="28">
        <f>K292</f>
        <v>0</v>
      </c>
      <c r="L400" s="381"/>
    </row>
    <row r="401" spans="1:12" ht="82.5" customHeight="1" x14ac:dyDescent="0.3">
      <c r="A401" s="396"/>
      <c r="B401" s="313"/>
      <c r="C401" s="313"/>
      <c r="D401" s="313"/>
      <c r="E401" s="313"/>
      <c r="F401" s="314"/>
      <c r="G401" s="240" t="s">
        <v>59</v>
      </c>
      <c r="H401" s="28">
        <f>H355</f>
        <v>4200</v>
      </c>
      <c r="I401" s="28">
        <f>I355</f>
        <v>0</v>
      </c>
      <c r="J401" s="28">
        <f>J355</f>
        <v>4200</v>
      </c>
      <c r="K401" s="28">
        <f>K355</f>
        <v>0</v>
      </c>
      <c r="L401" s="381"/>
    </row>
    <row r="402" spans="1:12" ht="65.25" customHeight="1" x14ac:dyDescent="0.3">
      <c r="A402" s="396"/>
      <c r="B402" s="313"/>
      <c r="C402" s="313"/>
      <c r="D402" s="313"/>
      <c r="E402" s="313"/>
      <c r="F402" s="314"/>
      <c r="G402" s="240" t="s">
        <v>349</v>
      </c>
      <c r="H402" s="28">
        <f>H314</f>
        <v>495</v>
      </c>
      <c r="I402" s="28">
        <f>I314</f>
        <v>495</v>
      </c>
      <c r="J402" s="28">
        <f>J314</f>
        <v>0</v>
      </c>
      <c r="K402" s="28">
        <f>K314</f>
        <v>0</v>
      </c>
      <c r="L402" s="381"/>
    </row>
    <row r="403" spans="1:12" ht="52.5" customHeight="1" x14ac:dyDescent="0.3">
      <c r="A403" s="397"/>
      <c r="B403" s="315"/>
      <c r="C403" s="315"/>
      <c r="D403" s="315"/>
      <c r="E403" s="315"/>
      <c r="F403" s="316"/>
      <c r="G403" s="240" t="s">
        <v>351</v>
      </c>
      <c r="H403" s="28">
        <f>H331</f>
        <v>18301.3</v>
      </c>
      <c r="I403" s="28">
        <f>I331</f>
        <v>16537.099999999999</v>
      </c>
      <c r="J403" s="28">
        <f>J331</f>
        <v>1764.2</v>
      </c>
      <c r="K403" s="28">
        <f>K331</f>
        <v>0</v>
      </c>
      <c r="L403" s="381"/>
    </row>
    <row r="404" spans="1:12" ht="48" customHeight="1" x14ac:dyDescent="0.3">
      <c r="A404" s="398" t="s">
        <v>158</v>
      </c>
      <c r="B404" s="399"/>
      <c r="C404" s="399"/>
      <c r="D404" s="400"/>
      <c r="E404" s="348" t="s">
        <v>58</v>
      </c>
      <c r="F404" s="292"/>
      <c r="G404" s="256" t="s">
        <v>64</v>
      </c>
      <c r="H404" s="26">
        <f>SUM(H405:H409)</f>
        <v>1105382.5999999999</v>
      </c>
      <c r="I404" s="26">
        <f>SUM(I405:I409)</f>
        <v>322453.40000000002</v>
      </c>
      <c r="J404" s="26">
        <f>SUM(J405:J409)</f>
        <v>346183.30000000005</v>
      </c>
      <c r="K404" s="26">
        <f>SUM(K405:K409)</f>
        <v>436745.9</v>
      </c>
      <c r="L404" s="381"/>
    </row>
    <row r="405" spans="1:12" ht="52.5" customHeight="1" x14ac:dyDescent="0.3">
      <c r="A405" s="401"/>
      <c r="B405" s="402"/>
      <c r="C405" s="402"/>
      <c r="D405" s="403"/>
      <c r="E405" s="349"/>
      <c r="F405" s="293"/>
      <c r="G405" s="240" t="s">
        <v>148</v>
      </c>
      <c r="H405" s="28">
        <f>H297+H360+H344</f>
        <v>33728.300000000003</v>
      </c>
      <c r="I405" s="28">
        <f>I297+I360+I344</f>
        <v>9703.7000000000007</v>
      </c>
      <c r="J405" s="28">
        <f>J297+J360+J344</f>
        <v>14478.7</v>
      </c>
      <c r="K405" s="28">
        <f>K297+K360+K344</f>
        <v>9545.9</v>
      </c>
      <c r="L405" s="381"/>
    </row>
    <row r="406" spans="1:12" ht="46.5" customHeight="1" x14ac:dyDescent="0.3">
      <c r="A406" s="401"/>
      <c r="B406" s="402"/>
      <c r="C406" s="402"/>
      <c r="D406" s="403"/>
      <c r="E406" s="349"/>
      <c r="F406" s="293"/>
      <c r="G406" s="240" t="s">
        <v>151</v>
      </c>
      <c r="H406" s="28">
        <f>H298+H343</f>
        <v>44630.5</v>
      </c>
      <c r="I406" s="28">
        <f>I298+I343</f>
        <v>18500</v>
      </c>
      <c r="J406" s="28">
        <f>J298+J343</f>
        <v>14830.5</v>
      </c>
      <c r="K406" s="28">
        <f>K298+K343</f>
        <v>11300</v>
      </c>
      <c r="L406" s="381"/>
    </row>
    <row r="407" spans="1:12" ht="75" customHeight="1" x14ac:dyDescent="0.3">
      <c r="A407" s="401"/>
      <c r="B407" s="402"/>
      <c r="C407" s="402"/>
      <c r="D407" s="403"/>
      <c r="E407" s="349"/>
      <c r="F407" s="293"/>
      <c r="G407" s="240" t="s">
        <v>70</v>
      </c>
      <c r="H407" s="28">
        <f>H357</f>
        <v>0</v>
      </c>
      <c r="I407" s="28">
        <f>I357</f>
        <v>0</v>
      </c>
      <c r="J407" s="28">
        <f>J357</f>
        <v>0</v>
      </c>
      <c r="K407" s="28">
        <f>K357</f>
        <v>0</v>
      </c>
      <c r="L407" s="381"/>
    </row>
    <row r="408" spans="1:12" ht="75" customHeight="1" x14ac:dyDescent="0.3">
      <c r="A408" s="401"/>
      <c r="B408" s="402"/>
      <c r="C408" s="402"/>
      <c r="D408" s="403"/>
      <c r="E408" s="349"/>
      <c r="F408" s="293"/>
      <c r="G408" s="240" t="s">
        <v>62</v>
      </c>
      <c r="H408" s="28">
        <f>H373</f>
        <v>1005381.9</v>
      </c>
      <c r="I408" s="28">
        <f>I373</f>
        <v>290904.7</v>
      </c>
      <c r="J408" s="28">
        <f>J373</f>
        <v>310577.2</v>
      </c>
      <c r="K408" s="28">
        <f>K373</f>
        <v>403900</v>
      </c>
      <c r="L408" s="381"/>
    </row>
    <row r="409" spans="1:12" ht="75" customHeight="1" x14ac:dyDescent="0.3">
      <c r="A409" s="401"/>
      <c r="B409" s="402"/>
      <c r="C409" s="402"/>
      <c r="D409" s="403"/>
      <c r="E409" s="394"/>
      <c r="F409" s="293"/>
      <c r="G409" s="240" t="s">
        <v>65</v>
      </c>
      <c r="H409" s="28">
        <f>H385</f>
        <v>21641.9</v>
      </c>
      <c r="I409" s="28">
        <f>I385</f>
        <v>3345</v>
      </c>
      <c r="J409" s="28">
        <f>J385</f>
        <v>6296.9</v>
      </c>
      <c r="K409" s="28">
        <f>K385</f>
        <v>12000</v>
      </c>
      <c r="L409" s="381"/>
    </row>
    <row r="410" spans="1:12" ht="75" customHeight="1" x14ac:dyDescent="0.3">
      <c r="A410" s="401"/>
      <c r="B410" s="402"/>
      <c r="C410" s="402"/>
      <c r="D410" s="403"/>
      <c r="E410" s="348" t="s">
        <v>52</v>
      </c>
      <c r="F410" s="293"/>
      <c r="G410" s="256" t="s">
        <v>64</v>
      </c>
      <c r="H410" s="26">
        <f>SUM(H411:H414)</f>
        <v>370788.3</v>
      </c>
      <c r="I410" s="26">
        <f>SUM(I411:I414)</f>
        <v>129061.5</v>
      </c>
      <c r="J410" s="26">
        <f>SUM(J411:J414)</f>
        <v>126904</v>
      </c>
      <c r="K410" s="26">
        <f>SUM(K411:K414)</f>
        <v>114822.8</v>
      </c>
      <c r="L410" s="381"/>
    </row>
    <row r="411" spans="1:12" ht="75" customHeight="1" x14ac:dyDescent="0.3">
      <c r="A411" s="401"/>
      <c r="B411" s="402"/>
      <c r="C411" s="402"/>
      <c r="D411" s="403"/>
      <c r="E411" s="349"/>
      <c r="F411" s="293"/>
      <c r="G411" s="240" t="s">
        <v>148</v>
      </c>
      <c r="H411" s="28">
        <f>H300+H337+H345</f>
        <v>43147.6</v>
      </c>
      <c r="I411" s="28">
        <f>I300+I337+I345</f>
        <v>16691.2</v>
      </c>
      <c r="J411" s="28">
        <f>J300+J337+J345</f>
        <v>14333.599999999999</v>
      </c>
      <c r="K411" s="28">
        <f>K300+K337+K345</f>
        <v>12122.8</v>
      </c>
      <c r="L411" s="381"/>
    </row>
    <row r="412" spans="1:12" ht="75" customHeight="1" x14ac:dyDescent="0.3">
      <c r="A412" s="401"/>
      <c r="B412" s="402"/>
      <c r="C412" s="402"/>
      <c r="D412" s="403"/>
      <c r="E412" s="349"/>
      <c r="F412" s="293"/>
      <c r="G412" s="240" t="s">
        <v>151</v>
      </c>
      <c r="H412" s="28">
        <f>H301+H346</f>
        <v>19000</v>
      </c>
      <c r="I412" s="28">
        <f>I301+I346</f>
        <v>0</v>
      </c>
      <c r="J412" s="28">
        <f>J301+J346</f>
        <v>0</v>
      </c>
      <c r="K412" s="28">
        <f>K301+K346</f>
        <v>19000</v>
      </c>
      <c r="L412" s="381"/>
    </row>
    <row r="413" spans="1:12" ht="75" customHeight="1" x14ac:dyDescent="0.3">
      <c r="A413" s="401"/>
      <c r="B413" s="402"/>
      <c r="C413" s="402"/>
      <c r="D413" s="403"/>
      <c r="E413" s="349"/>
      <c r="F413" s="293"/>
      <c r="G413" s="240" t="s">
        <v>62</v>
      </c>
      <c r="H413" s="28">
        <f>H374</f>
        <v>269409.8</v>
      </c>
      <c r="I413" s="28">
        <f>I374</f>
        <v>98845.8</v>
      </c>
      <c r="J413" s="28">
        <f>J374</f>
        <v>98564</v>
      </c>
      <c r="K413" s="28">
        <f>K374</f>
        <v>72000</v>
      </c>
      <c r="L413" s="381"/>
    </row>
    <row r="414" spans="1:12" ht="75" customHeight="1" x14ac:dyDescent="0.3">
      <c r="A414" s="401"/>
      <c r="B414" s="402"/>
      <c r="C414" s="402"/>
      <c r="D414" s="403"/>
      <c r="E414" s="394"/>
      <c r="F414" s="293"/>
      <c r="G414" s="240" t="s">
        <v>65</v>
      </c>
      <c r="H414" s="28">
        <f>H386</f>
        <v>39230.9</v>
      </c>
      <c r="I414" s="28">
        <f>I386</f>
        <v>13524.5</v>
      </c>
      <c r="J414" s="28">
        <f>J386</f>
        <v>14006.4</v>
      </c>
      <c r="K414" s="28">
        <f>K386</f>
        <v>11700</v>
      </c>
      <c r="L414" s="381"/>
    </row>
    <row r="415" spans="1:12" ht="75" customHeight="1" x14ac:dyDescent="0.3">
      <c r="A415" s="401"/>
      <c r="B415" s="402"/>
      <c r="C415" s="402"/>
      <c r="D415" s="403"/>
      <c r="E415" s="348" t="s">
        <v>53</v>
      </c>
      <c r="F415" s="293"/>
      <c r="G415" s="256" t="s">
        <v>64</v>
      </c>
      <c r="H415" s="26">
        <f>SUM(H416:H420)</f>
        <v>781038.3205875</v>
      </c>
      <c r="I415" s="26">
        <f>SUM(I416:I420)</f>
        <v>300757.24</v>
      </c>
      <c r="J415" s="26">
        <f>SUM(J416:J420)</f>
        <v>301482.3</v>
      </c>
      <c r="K415" s="26">
        <f>SUM(K416:K420)</f>
        <v>178798.78058749999</v>
      </c>
      <c r="L415" s="381"/>
    </row>
    <row r="416" spans="1:12" ht="75" customHeight="1" x14ac:dyDescent="0.3">
      <c r="A416" s="401"/>
      <c r="B416" s="402"/>
      <c r="C416" s="402"/>
      <c r="D416" s="403"/>
      <c r="E416" s="349"/>
      <c r="F416" s="293"/>
      <c r="G416" s="240" t="s">
        <v>148</v>
      </c>
      <c r="H416" s="28">
        <f>H303+H348</f>
        <v>41333.199999999997</v>
      </c>
      <c r="I416" s="28">
        <f>I303+I348</f>
        <v>12719.8</v>
      </c>
      <c r="J416" s="28">
        <f>J303+J348</f>
        <v>13771.5</v>
      </c>
      <c r="K416" s="28">
        <f>K303+K348</f>
        <v>14841.900000000001</v>
      </c>
      <c r="L416" s="381"/>
    </row>
    <row r="417" spans="1:12" ht="75" customHeight="1" x14ac:dyDescent="0.3">
      <c r="A417" s="401"/>
      <c r="B417" s="402"/>
      <c r="C417" s="402"/>
      <c r="D417" s="403"/>
      <c r="E417" s="349"/>
      <c r="F417" s="293"/>
      <c r="G417" s="240" t="s">
        <v>151</v>
      </c>
      <c r="H417" s="28">
        <f>H304+H347</f>
        <v>16924.2</v>
      </c>
      <c r="I417" s="28">
        <f>I304+I347</f>
        <v>1929.6</v>
      </c>
      <c r="J417" s="28">
        <f>J304+J347</f>
        <v>6394.6</v>
      </c>
      <c r="K417" s="28">
        <f>K304+K347</f>
        <v>8600</v>
      </c>
      <c r="L417" s="381"/>
    </row>
    <row r="418" spans="1:12" ht="75" customHeight="1" x14ac:dyDescent="0.3">
      <c r="A418" s="401"/>
      <c r="B418" s="402"/>
      <c r="C418" s="402"/>
      <c r="D418" s="403"/>
      <c r="E418" s="349"/>
      <c r="F418" s="293"/>
      <c r="G418" s="240" t="s">
        <v>62</v>
      </c>
      <c r="H418" s="28">
        <f>H375</f>
        <v>710895.6</v>
      </c>
      <c r="I418" s="28">
        <f>I375</f>
        <v>280810.3</v>
      </c>
      <c r="J418" s="28">
        <f>J375</f>
        <v>276377.2</v>
      </c>
      <c r="K418" s="28">
        <f>K375</f>
        <v>153708.1</v>
      </c>
      <c r="L418" s="381"/>
    </row>
    <row r="419" spans="1:12" ht="75" customHeight="1" x14ac:dyDescent="0.3">
      <c r="A419" s="401"/>
      <c r="B419" s="402"/>
      <c r="C419" s="402"/>
      <c r="D419" s="403"/>
      <c r="E419" s="349"/>
      <c r="F419" s="293"/>
      <c r="G419" s="240" t="s">
        <v>65</v>
      </c>
      <c r="H419" s="28">
        <f>H387</f>
        <v>11273.080587499999</v>
      </c>
      <c r="I419" s="28">
        <f>I387</f>
        <v>4685.3</v>
      </c>
      <c r="J419" s="28">
        <f>J387</f>
        <v>4939</v>
      </c>
      <c r="K419" s="28">
        <f>K387</f>
        <v>1648.7805874999995</v>
      </c>
      <c r="L419" s="381"/>
    </row>
    <row r="420" spans="1:12" ht="302.25" customHeight="1" x14ac:dyDescent="0.3">
      <c r="A420" s="401"/>
      <c r="B420" s="402"/>
      <c r="C420" s="402"/>
      <c r="D420" s="403"/>
      <c r="E420" s="394"/>
      <c r="F420" s="293"/>
      <c r="G420" s="256" t="s">
        <v>311</v>
      </c>
      <c r="H420" s="28">
        <f>H305</f>
        <v>612.24</v>
      </c>
      <c r="I420" s="28">
        <f>I305</f>
        <v>612.24</v>
      </c>
      <c r="J420" s="28">
        <f>J305</f>
        <v>0</v>
      </c>
      <c r="K420" s="28">
        <f>K305</f>
        <v>0</v>
      </c>
      <c r="L420" s="381"/>
    </row>
    <row r="421" spans="1:12" ht="75" customHeight="1" x14ac:dyDescent="0.3">
      <c r="A421" s="401"/>
      <c r="B421" s="402"/>
      <c r="C421" s="402"/>
      <c r="D421" s="403"/>
      <c r="E421" s="348" t="s">
        <v>51</v>
      </c>
      <c r="F421" s="293"/>
      <c r="G421" s="256" t="s">
        <v>64</v>
      </c>
      <c r="H421" s="26">
        <f>SUM(H422:H428)</f>
        <v>289895.53999999998</v>
      </c>
      <c r="I421" s="26">
        <f>SUM(I422:I428)</f>
        <v>100226.14</v>
      </c>
      <c r="J421" s="26">
        <f>SUM(J422:J428)</f>
        <v>165396.4</v>
      </c>
      <c r="K421" s="26">
        <f>SUM(K422:K428)</f>
        <v>24272.999999999996</v>
      </c>
      <c r="L421" s="381"/>
    </row>
    <row r="422" spans="1:12" ht="75" customHeight="1" x14ac:dyDescent="0.3">
      <c r="A422" s="401"/>
      <c r="B422" s="402"/>
      <c r="C422" s="402"/>
      <c r="D422" s="403"/>
      <c r="E422" s="349"/>
      <c r="F422" s="293"/>
      <c r="G422" s="66" t="s">
        <v>148</v>
      </c>
      <c r="H422" s="28">
        <f>H307+H352+H361</f>
        <v>51616.899999999994</v>
      </c>
      <c r="I422" s="28">
        <f>I307+I352+I361</f>
        <v>12628.399999999998</v>
      </c>
      <c r="J422" s="28">
        <f>J307+J352+J361</f>
        <v>25489.8</v>
      </c>
      <c r="K422" s="28">
        <f>K307+K352+K361</f>
        <v>13498.699999999999</v>
      </c>
      <c r="L422" s="381"/>
    </row>
    <row r="423" spans="1:12" ht="75" customHeight="1" x14ac:dyDescent="0.3">
      <c r="A423" s="401"/>
      <c r="B423" s="402"/>
      <c r="C423" s="402"/>
      <c r="D423" s="403"/>
      <c r="E423" s="349"/>
      <c r="F423" s="293"/>
      <c r="G423" s="240" t="s">
        <v>151</v>
      </c>
      <c r="H423" s="28">
        <f>H308+H353</f>
        <v>79643.700000000012</v>
      </c>
      <c r="I423" s="28">
        <f>I308+I353</f>
        <v>16111.3</v>
      </c>
      <c r="J423" s="28">
        <f>J308+J353</f>
        <v>54532.399999999994</v>
      </c>
      <c r="K423" s="28">
        <f>K308+K353</f>
        <v>9000</v>
      </c>
      <c r="L423" s="381"/>
    </row>
    <row r="424" spans="1:12" ht="75" customHeight="1" x14ac:dyDescent="0.3">
      <c r="A424" s="401"/>
      <c r="B424" s="402"/>
      <c r="C424" s="402"/>
      <c r="D424" s="403"/>
      <c r="E424" s="349"/>
      <c r="F424" s="293"/>
      <c r="G424" s="240" t="s">
        <v>70</v>
      </c>
      <c r="H424" s="28">
        <f>H358</f>
        <v>0</v>
      </c>
      <c r="I424" s="28">
        <f>I358</f>
        <v>0</v>
      </c>
      <c r="J424" s="28">
        <f>J358</f>
        <v>0</v>
      </c>
      <c r="K424" s="28">
        <f>K358</f>
        <v>0</v>
      </c>
      <c r="L424" s="381"/>
    </row>
    <row r="425" spans="1:12" ht="75" customHeight="1" x14ac:dyDescent="0.3">
      <c r="A425" s="401"/>
      <c r="B425" s="402"/>
      <c r="C425" s="402"/>
      <c r="D425" s="403"/>
      <c r="E425" s="349"/>
      <c r="F425" s="293"/>
      <c r="G425" s="240" t="s">
        <v>62</v>
      </c>
      <c r="H425" s="28">
        <f>H376</f>
        <v>145519.5</v>
      </c>
      <c r="I425" s="28">
        <f>I376</f>
        <v>67676.7</v>
      </c>
      <c r="J425" s="28">
        <f>J376</f>
        <v>77727.3</v>
      </c>
      <c r="K425" s="28">
        <f>K376</f>
        <v>115.5</v>
      </c>
      <c r="L425" s="381"/>
    </row>
    <row r="426" spans="1:12" ht="75" customHeight="1" x14ac:dyDescent="0.3">
      <c r="A426" s="401"/>
      <c r="B426" s="402"/>
      <c r="C426" s="402"/>
      <c r="D426" s="403"/>
      <c r="E426" s="349"/>
      <c r="F426" s="293"/>
      <c r="G426" s="240" t="s">
        <v>65</v>
      </c>
      <c r="H426" s="28">
        <f>H388</f>
        <v>8303.1999999999989</v>
      </c>
      <c r="I426" s="28">
        <f>I388</f>
        <v>3197.5</v>
      </c>
      <c r="J426" s="28">
        <f>J388</f>
        <v>3446.9</v>
      </c>
      <c r="K426" s="28">
        <f>K388</f>
        <v>1658.8</v>
      </c>
      <c r="L426" s="381"/>
    </row>
    <row r="427" spans="1:12" ht="75" customHeight="1" x14ac:dyDescent="0.3">
      <c r="A427" s="401"/>
      <c r="B427" s="402"/>
      <c r="C427" s="402"/>
      <c r="D427" s="403"/>
      <c r="E427" s="349"/>
      <c r="F427" s="293"/>
      <c r="G427" s="240" t="s">
        <v>59</v>
      </c>
      <c r="H427" s="28">
        <f>H401</f>
        <v>4200</v>
      </c>
      <c r="I427" s="28">
        <f>I401</f>
        <v>0</v>
      </c>
      <c r="J427" s="28">
        <f>J401</f>
        <v>4200</v>
      </c>
      <c r="K427" s="28">
        <f>K401</f>
        <v>0</v>
      </c>
      <c r="L427" s="381"/>
    </row>
    <row r="428" spans="1:12" ht="317.25" customHeight="1" x14ac:dyDescent="0.3">
      <c r="A428" s="401"/>
      <c r="B428" s="402"/>
      <c r="C428" s="402"/>
      <c r="D428" s="403"/>
      <c r="E428" s="394"/>
      <c r="F428" s="293"/>
      <c r="G428" s="256" t="s">
        <v>311</v>
      </c>
      <c r="H428" s="28">
        <f>H309</f>
        <v>612.24</v>
      </c>
      <c r="I428" s="28">
        <f>I309</f>
        <v>612.24</v>
      </c>
      <c r="J428" s="28">
        <f>J309</f>
        <v>0</v>
      </c>
      <c r="K428" s="28">
        <f>K309</f>
        <v>0</v>
      </c>
      <c r="L428" s="381"/>
    </row>
    <row r="429" spans="1:12" ht="75" customHeight="1" x14ac:dyDescent="0.3">
      <c r="A429" s="401"/>
      <c r="B429" s="402"/>
      <c r="C429" s="402"/>
      <c r="D429" s="403"/>
      <c r="E429" s="348" t="s">
        <v>137</v>
      </c>
      <c r="F429" s="293"/>
      <c r="G429" s="256" t="s">
        <v>64</v>
      </c>
      <c r="H429" s="26">
        <f>SUM(H430:H436)</f>
        <v>622882.43999999994</v>
      </c>
      <c r="I429" s="26">
        <f>SUM(I430:I436)</f>
        <v>206697.14</v>
      </c>
      <c r="J429" s="26">
        <f>SUM(J430:J436)</f>
        <v>243757.6</v>
      </c>
      <c r="K429" s="26">
        <f>SUM(K430:K436)</f>
        <v>172427.7</v>
      </c>
      <c r="L429" s="381"/>
    </row>
    <row r="430" spans="1:12" ht="75" customHeight="1" x14ac:dyDescent="0.3">
      <c r="A430" s="401"/>
      <c r="B430" s="402"/>
      <c r="C430" s="402"/>
      <c r="D430" s="403"/>
      <c r="E430" s="349"/>
      <c r="F430" s="293"/>
      <c r="G430" s="66" t="s">
        <v>148</v>
      </c>
      <c r="H430" s="28">
        <f>H311+H362</f>
        <v>17423.3</v>
      </c>
      <c r="I430" s="28">
        <f>I311+I362</f>
        <v>5032.8999999999996</v>
      </c>
      <c r="J430" s="28">
        <f>J311+J362</f>
        <v>7142.7</v>
      </c>
      <c r="K430" s="28">
        <f>K311+K362</f>
        <v>5247.7</v>
      </c>
      <c r="L430" s="381"/>
    </row>
    <row r="431" spans="1:12" ht="75" customHeight="1" x14ac:dyDescent="0.3">
      <c r="A431" s="401"/>
      <c r="B431" s="402"/>
      <c r="C431" s="402"/>
      <c r="D431" s="403"/>
      <c r="E431" s="349"/>
      <c r="F431" s="293"/>
      <c r="G431" s="240" t="s">
        <v>151</v>
      </c>
      <c r="H431" s="28">
        <f>H312+H351</f>
        <v>90096.2</v>
      </c>
      <c r="I431" s="28">
        <f>I312+I351</f>
        <v>33281.300000000003</v>
      </c>
      <c r="J431" s="28">
        <f>J312+J351</f>
        <v>53814.9</v>
      </c>
      <c r="K431" s="28">
        <f>K312+K351</f>
        <v>3000</v>
      </c>
      <c r="L431" s="381"/>
    </row>
    <row r="432" spans="1:12" ht="75" customHeight="1" x14ac:dyDescent="0.3">
      <c r="A432" s="401"/>
      <c r="B432" s="402"/>
      <c r="C432" s="402"/>
      <c r="D432" s="403"/>
      <c r="E432" s="349"/>
      <c r="F432" s="293"/>
      <c r="G432" s="240" t="s">
        <v>62</v>
      </c>
      <c r="H432" s="28">
        <f>H379</f>
        <v>500191.7</v>
      </c>
      <c r="I432" s="28">
        <f>I379</f>
        <v>163191.70000000001</v>
      </c>
      <c r="J432" s="28">
        <f>J379</f>
        <v>178000</v>
      </c>
      <c r="K432" s="28">
        <f>K379</f>
        <v>159000</v>
      </c>
      <c r="L432" s="381"/>
    </row>
    <row r="433" spans="1:12" ht="75" customHeight="1" x14ac:dyDescent="0.3">
      <c r="A433" s="401"/>
      <c r="B433" s="402"/>
      <c r="C433" s="402"/>
      <c r="D433" s="403"/>
      <c r="E433" s="349"/>
      <c r="F433" s="293"/>
      <c r="G433" s="240" t="s">
        <v>65</v>
      </c>
      <c r="H433" s="28">
        <f>H389</f>
        <v>14064</v>
      </c>
      <c r="I433" s="28">
        <f>I389</f>
        <v>4084</v>
      </c>
      <c r="J433" s="28">
        <f>J389</f>
        <v>4800</v>
      </c>
      <c r="K433" s="28">
        <f>K389</f>
        <v>5180</v>
      </c>
      <c r="L433" s="381"/>
    </row>
    <row r="434" spans="1:12" ht="75" customHeight="1" x14ac:dyDescent="0.3">
      <c r="A434" s="401"/>
      <c r="B434" s="402"/>
      <c r="C434" s="402"/>
      <c r="D434" s="403"/>
      <c r="E434" s="349"/>
      <c r="F434" s="293"/>
      <c r="G434" s="240" t="s">
        <v>70</v>
      </c>
      <c r="H434" s="28">
        <f>H359</f>
        <v>0</v>
      </c>
      <c r="I434" s="28">
        <f>I359</f>
        <v>0</v>
      </c>
      <c r="J434" s="28">
        <f>J359</f>
        <v>0</v>
      </c>
      <c r="K434" s="28">
        <f>K359</f>
        <v>0</v>
      </c>
      <c r="L434" s="381"/>
    </row>
    <row r="435" spans="1:12" ht="297.75" customHeight="1" x14ac:dyDescent="0.3">
      <c r="A435" s="401"/>
      <c r="B435" s="402"/>
      <c r="C435" s="402"/>
      <c r="D435" s="403"/>
      <c r="E435" s="349"/>
      <c r="F435" s="293"/>
      <c r="G435" s="256" t="s">
        <v>311</v>
      </c>
      <c r="H435" s="28">
        <f t="shared" ref="H435:K436" si="37">H313</f>
        <v>612.24</v>
      </c>
      <c r="I435" s="28">
        <f t="shared" si="37"/>
        <v>612.24</v>
      </c>
      <c r="J435" s="28">
        <f t="shared" si="37"/>
        <v>0</v>
      </c>
      <c r="K435" s="28">
        <f t="shared" si="37"/>
        <v>0</v>
      </c>
      <c r="L435" s="381"/>
    </row>
    <row r="436" spans="1:12" ht="87.75" customHeight="1" x14ac:dyDescent="0.3">
      <c r="A436" s="401"/>
      <c r="B436" s="402"/>
      <c r="C436" s="402"/>
      <c r="D436" s="403"/>
      <c r="E436" s="394"/>
      <c r="F436" s="293"/>
      <c r="G436" s="240" t="s">
        <v>349</v>
      </c>
      <c r="H436" s="28">
        <f t="shared" si="37"/>
        <v>495</v>
      </c>
      <c r="I436" s="28">
        <f t="shared" si="37"/>
        <v>495</v>
      </c>
      <c r="J436" s="28">
        <f t="shared" si="37"/>
        <v>0</v>
      </c>
      <c r="K436" s="28">
        <f t="shared" si="37"/>
        <v>0</v>
      </c>
      <c r="L436" s="381"/>
    </row>
    <row r="437" spans="1:12" ht="75" customHeight="1" x14ac:dyDescent="0.3">
      <c r="A437" s="401"/>
      <c r="B437" s="402"/>
      <c r="C437" s="402"/>
      <c r="D437" s="403"/>
      <c r="E437" s="348" t="s">
        <v>55</v>
      </c>
      <c r="F437" s="293"/>
      <c r="G437" s="256" t="s">
        <v>64</v>
      </c>
      <c r="H437" s="26">
        <f>SUM(H438:H441)</f>
        <v>351711.8</v>
      </c>
      <c r="I437" s="26">
        <f>SUM(I438:I441)</f>
        <v>120624.9</v>
      </c>
      <c r="J437" s="26">
        <f>SUM(J438:J441)</f>
        <v>127814.1</v>
      </c>
      <c r="K437" s="26">
        <f>SUM(K438:K441)</f>
        <v>103272.8</v>
      </c>
      <c r="L437" s="381"/>
    </row>
    <row r="438" spans="1:12" ht="75" customHeight="1" x14ac:dyDescent="0.3">
      <c r="A438" s="401"/>
      <c r="B438" s="402"/>
      <c r="C438" s="402"/>
      <c r="D438" s="403"/>
      <c r="E438" s="349"/>
      <c r="F438" s="293"/>
      <c r="G438" s="66" t="s">
        <v>148</v>
      </c>
      <c r="H438" s="28">
        <f t="shared" ref="H438:K439" si="38">H317+H349</f>
        <v>16382.399999999998</v>
      </c>
      <c r="I438" s="28">
        <f t="shared" si="38"/>
        <v>5189.7000000000007</v>
      </c>
      <c r="J438" s="28">
        <f t="shared" si="38"/>
        <v>5519.9</v>
      </c>
      <c r="K438" s="28">
        <f t="shared" si="38"/>
        <v>5672.8</v>
      </c>
      <c r="L438" s="381"/>
    </row>
    <row r="439" spans="1:12" ht="75" customHeight="1" x14ac:dyDescent="0.3">
      <c r="A439" s="401"/>
      <c r="B439" s="402"/>
      <c r="C439" s="402"/>
      <c r="D439" s="403"/>
      <c r="E439" s="349"/>
      <c r="F439" s="293"/>
      <c r="G439" s="240" t="s">
        <v>151</v>
      </c>
      <c r="H439" s="28">
        <f t="shared" si="38"/>
        <v>17424.8</v>
      </c>
      <c r="I439" s="28">
        <f t="shared" si="38"/>
        <v>0</v>
      </c>
      <c r="J439" s="28">
        <f t="shared" si="38"/>
        <v>10824.8</v>
      </c>
      <c r="K439" s="28">
        <f t="shared" si="38"/>
        <v>6600</v>
      </c>
      <c r="L439" s="381"/>
    </row>
    <row r="440" spans="1:12" ht="75" customHeight="1" x14ac:dyDescent="0.3">
      <c r="A440" s="401"/>
      <c r="B440" s="402"/>
      <c r="C440" s="402"/>
      <c r="D440" s="403"/>
      <c r="E440" s="349"/>
      <c r="F440" s="293"/>
      <c r="G440" s="240" t="s">
        <v>62</v>
      </c>
      <c r="H440" s="28">
        <f>H377</f>
        <v>287281.09999999998</v>
      </c>
      <c r="I440" s="28">
        <f>I377</f>
        <v>103368.3</v>
      </c>
      <c r="J440" s="28">
        <f>J377</f>
        <v>101912.8</v>
      </c>
      <c r="K440" s="28">
        <f>K377</f>
        <v>82000</v>
      </c>
      <c r="L440" s="381"/>
    </row>
    <row r="441" spans="1:12" ht="75" customHeight="1" x14ac:dyDescent="0.3">
      <c r="A441" s="401"/>
      <c r="B441" s="402"/>
      <c r="C441" s="402"/>
      <c r="D441" s="403"/>
      <c r="E441" s="394"/>
      <c r="F441" s="293"/>
      <c r="G441" s="240" t="s">
        <v>65</v>
      </c>
      <c r="H441" s="28">
        <f>H390</f>
        <v>30623.5</v>
      </c>
      <c r="I441" s="28">
        <f>I390</f>
        <v>12066.9</v>
      </c>
      <c r="J441" s="28">
        <f>J390</f>
        <v>9556.6</v>
      </c>
      <c r="K441" s="28">
        <f>K390</f>
        <v>9000</v>
      </c>
      <c r="L441" s="381"/>
    </row>
    <row r="442" spans="1:12" ht="75" customHeight="1" x14ac:dyDescent="0.3">
      <c r="A442" s="401"/>
      <c r="B442" s="402"/>
      <c r="C442" s="402"/>
      <c r="D442" s="403"/>
      <c r="E442" s="348" t="s">
        <v>54</v>
      </c>
      <c r="F442" s="293"/>
      <c r="G442" s="256" t="s">
        <v>64</v>
      </c>
      <c r="H442" s="26">
        <f>SUM(H443:H446)</f>
        <v>85793.3</v>
      </c>
      <c r="I442" s="26">
        <f>SUM(I443:I446)</f>
        <v>28672.300000000003</v>
      </c>
      <c r="J442" s="26">
        <f>SUM(J443:J446)</f>
        <v>31498.600000000002</v>
      </c>
      <c r="K442" s="26">
        <f>SUM(K443:K446)</f>
        <v>25622.400000000001</v>
      </c>
      <c r="L442" s="381"/>
    </row>
    <row r="443" spans="1:12" ht="75" customHeight="1" x14ac:dyDescent="0.3">
      <c r="A443" s="401"/>
      <c r="B443" s="402"/>
      <c r="C443" s="402"/>
      <c r="D443" s="403"/>
      <c r="E443" s="349"/>
      <c r="F443" s="293"/>
      <c r="G443" s="66" t="s">
        <v>148</v>
      </c>
      <c r="H443" s="28">
        <f>H320+H340</f>
        <v>41088.300000000003</v>
      </c>
      <c r="I443" s="28">
        <f>I320+I340</f>
        <v>14328.7</v>
      </c>
      <c r="J443" s="28">
        <f>J320+J340</f>
        <v>14882.800000000001</v>
      </c>
      <c r="K443" s="28">
        <f>K320+K340</f>
        <v>11876.8</v>
      </c>
      <c r="L443" s="381"/>
    </row>
    <row r="444" spans="1:12" ht="75" customHeight="1" x14ac:dyDescent="0.3">
      <c r="A444" s="401"/>
      <c r="B444" s="402"/>
      <c r="C444" s="402"/>
      <c r="D444" s="403"/>
      <c r="E444" s="349"/>
      <c r="F444" s="293"/>
      <c r="G444" s="240" t="s">
        <v>151</v>
      </c>
      <c r="H444" s="28">
        <f>H321</f>
        <v>2700</v>
      </c>
      <c r="I444" s="28">
        <f>I321</f>
        <v>0</v>
      </c>
      <c r="J444" s="28">
        <f>J321</f>
        <v>200</v>
      </c>
      <c r="K444" s="28">
        <f>K321</f>
        <v>2500</v>
      </c>
      <c r="L444" s="381"/>
    </row>
    <row r="445" spans="1:12" ht="75" customHeight="1" x14ac:dyDescent="0.3">
      <c r="A445" s="401"/>
      <c r="B445" s="402"/>
      <c r="C445" s="402"/>
      <c r="D445" s="403"/>
      <c r="E445" s="349"/>
      <c r="F445" s="293"/>
      <c r="G445" s="240" t="s">
        <v>62</v>
      </c>
      <c r="H445" s="28">
        <f>H378</f>
        <v>951.80000000000007</v>
      </c>
      <c r="I445" s="28">
        <f>I378</f>
        <v>303.10000000000002</v>
      </c>
      <c r="J445" s="28">
        <f>J378</f>
        <v>303.10000000000002</v>
      </c>
      <c r="K445" s="28">
        <f>K378</f>
        <v>345.6</v>
      </c>
      <c r="L445" s="381"/>
    </row>
    <row r="446" spans="1:12" ht="75" customHeight="1" x14ac:dyDescent="0.3">
      <c r="A446" s="401"/>
      <c r="B446" s="402"/>
      <c r="C446" s="402"/>
      <c r="D446" s="403"/>
      <c r="E446" s="394"/>
      <c r="F446" s="293"/>
      <c r="G446" s="240" t="s">
        <v>65</v>
      </c>
      <c r="H446" s="28">
        <f>H391</f>
        <v>41053.199999999997</v>
      </c>
      <c r="I446" s="28">
        <f>I391</f>
        <v>14040.5</v>
      </c>
      <c r="J446" s="28">
        <f>J391</f>
        <v>16112.7</v>
      </c>
      <c r="K446" s="28">
        <f>K391</f>
        <v>10900</v>
      </c>
      <c r="L446" s="381"/>
    </row>
    <row r="447" spans="1:12" ht="75" customHeight="1" x14ac:dyDescent="0.3">
      <c r="A447" s="401"/>
      <c r="B447" s="402"/>
      <c r="C447" s="402"/>
      <c r="D447" s="403"/>
      <c r="E447" s="348" t="s">
        <v>56</v>
      </c>
      <c r="F447" s="293"/>
      <c r="G447" s="256" t="s">
        <v>64</v>
      </c>
      <c r="H447" s="26">
        <f>SUM(H448:H451)</f>
        <v>297812.30000000005</v>
      </c>
      <c r="I447" s="26">
        <f>SUM(I448:I451)</f>
        <v>104034</v>
      </c>
      <c r="J447" s="26">
        <f>SUM(J448:J451)</f>
        <v>107660.5</v>
      </c>
      <c r="K447" s="26">
        <f>SUM(K448:K451)</f>
        <v>86117.799999999988</v>
      </c>
      <c r="L447" s="381"/>
    </row>
    <row r="448" spans="1:12" ht="75" customHeight="1" x14ac:dyDescent="0.3">
      <c r="A448" s="401"/>
      <c r="B448" s="402"/>
      <c r="C448" s="402"/>
      <c r="D448" s="403"/>
      <c r="E448" s="349"/>
      <c r="F448" s="293"/>
      <c r="G448" s="66" t="s">
        <v>148</v>
      </c>
      <c r="H448" s="28">
        <f t="shared" ref="H448:K449" si="39">H323</f>
        <v>33085.200000000004</v>
      </c>
      <c r="I448" s="28">
        <f t="shared" si="39"/>
        <v>10162</v>
      </c>
      <c r="J448" s="28">
        <f t="shared" si="39"/>
        <v>11696.099999999999</v>
      </c>
      <c r="K448" s="28">
        <f t="shared" si="39"/>
        <v>11227.099999999999</v>
      </c>
      <c r="L448" s="381"/>
    </row>
    <row r="449" spans="1:12" ht="75" customHeight="1" x14ac:dyDescent="0.3">
      <c r="A449" s="401"/>
      <c r="B449" s="402"/>
      <c r="C449" s="402"/>
      <c r="D449" s="403"/>
      <c r="E449" s="349"/>
      <c r="F449" s="293"/>
      <c r="G449" s="240" t="s">
        <v>151</v>
      </c>
      <c r="H449" s="28">
        <f t="shared" si="39"/>
        <v>8841.2999999999993</v>
      </c>
      <c r="I449" s="28">
        <f t="shared" si="39"/>
        <v>0</v>
      </c>
      <c r="J449" s="28">
        <f t="shared" si="39"/>
        <v>8841.2999999999993</v>
      </c>
      <c r="K449" s="28">
        <f t="shared" si="39"/>
        <v>0</v>
      </c>
      <c r="L449" s="381"/>
    </row>
    <row r="450" spans="1:12" ht="75" customHeight="1" x14ac:dyDescent="0.3">
      <c r="A450" s="401"/>
      <c r="B450" s="402"/>
      <c r="C450" s="402"/>
      <c r="D450" s="403"/>
      <c r="E450" s="349"/>
      <c r="F450" s="293"/>
      <c r="G450" s="240" t="s">
        <v>62</v>
      </c>
      <c r="H450" s="28">
        <f>H380</f>
        <v>253622.90000000002</v>
      </c>
      <c r="I450" s="28">
        <f>I380</f>
        <v>92957.5</v>
      </c>
      <c r="J450" s="28">
        <f>J380</f>
        <v>86013.6</v>
      </c>
      <c r="K450" s="28">
        <f>K380</f>
        <v>74651.8</v>
      </c>
      <c r="L450" s="381"/>
    </row>
    <row r="451" spans="1:12" ht="75" customHeight="1" x14ac:dyDescent="0.3">
      <c r="A451" s="401"/>
      <c r="B451" s="402"/>
      <c r="C451" s="402"/>
      <c r="D451" s="403"/>
      <c r="E451" s="394"/>
      <c r="F451" s="293"/>
      <c r="G451" s="240" t="s">
        <v>65</v>
      </c>
      <c r="H451" s="28">
        <f>H392</f>
        <v>2262.9</v>
      </c>
      <c r="I451" s="28">
        <f>I392</f>
        <v>914.5</v>
      </c>
      <c r="J451" s="28">
        <f>J392</f>
        <v>1109.5</v>
      </c>
      <c r="K451" s="28">
        <f>K392</f>
        <v>238.9</v>
      </c>
      <c r="L451" s="381"/>
    </row>
    <row r="452" spans="1:12" ht="75" customHeight="1" x14ac:dyDescent="0.3">
      <c r="A452" s="401"/>
      <c r="B452" s="402"/>
      <c r="C452" s="402"/>
      <c r="D452" s="403"/>
      <c r="E452" s="348" t="s">
        <v>57</v>
      </c>
      <c r="F452" s="293"/>
      <c r="G452" s="256" t="s">
        <v>64</v>
      </c>
      <c r="H452" s="26">
        <f>SUM(H453:H456)</f>
        <v>304912.2</v>
      </c>
      <c r="I452" s="26">
        <f>SUM(I453:I456)</f>
        <v>115126.3</v>
      </c>
      <c r="J452" s="26">
        <f>SUM(J453:J456)</f>
        <v>104957.3</v>
      </c>
      <c r="K452" s="26">
        <f>SUM(K453:K456)</f>
        <v>84828.6</v>
      </c>
      <c r="L452" s="381"/>
    </row>
    <row r="453" spans="1:12" ht="75" customHeight="1" x14ac:dyDescent="0.3">
      <c r="A453" s="401"/>
      <c r="B453" s="402"/>
      <c r="C453" s="402"/>
      <c r="D453" s="403"/>
      <c r="E453" s="349"/>
      <c r="F453" s="293"/>
      <c r="G453" s="66" t="s">
        <v>148</v>
      </c>
      <c r="H453" s="28">
        <f t="shared" ref="H453:K454" si="40">H326</f>
        <v>37133.599999999999</v>
      </c>
      <c r="I453" s="28">
        <f t="shared" si="40"/>
        <v>11869.8</v>
      </c>
      <c r="J453" s="28">
        <f t="shared" si="40"/>
        <v>12178.8</v>
      </c>
      <c r="K453" s="28">
        <f t="shared" si="40"/>
        <v>13085</v>
      </c>
      <c r="L453" s="381"/>
    </row>
    <row r="454" spans="1:12" ht="75" customHeight="1" x14ac:dyDescent="0.3">
      <c r="A454" s="401"/>
      <c r="B454" s="402"/>
      <c r="C454" s="402"/>
      <c r="D454" s="403"/>
      <c r="E454" s="349"/>
      <c r="F454" s="293"/>
      <c r="G454" s="240" t="s">
        <v>151</v>
      </c>
      <c r="H454" s="28">
        <f t="shared" si="40"/>
        <v>0</v>
      </c>
      <c r="I454" s="28">
        <f t="shared" si="40"/>
        <v>0</v>
      </c>
      <c r="J454" s="28">
        <f t="shared" si="40"/>
        <v>0</v>
      </c>
      <c r="K454" s="28">
        <f t="shared" si="40"/>
        <v>0</v>
      </c>
      <c r="L454" s="381"/>
    </row>
    <row r="455" spans="1:12" ht="75" customHeight="1" x14ac:dyDescent="0.3">
      <c r="A455" s="401"/>
      <c r="B455" s="402"/>
      <c r="C455" s="402"/>
      <c r="D455" s="403"/>
      <c r="E455" s="349"/>
      <c r="F455" s="293"/>
      <c r="G455" s="240" t="s">
        <v>62</v>
      </c>
      <c r="H455" s="28">
        <f>H383+H381</f>
        <v>264117.7</v>
      </c>
      <c r="I455" s="28">
        <f>I383+I381</f>
        <v>101228.7</v>
      </c>
      <c r="J455" s="28">
        <f>J383+J381</f>
        <v>91365</v>
      </c>
      <c r="K455" s="28">
        <f>K383+K381</f>
        <v>71524</v>
      </c>
      <c r="L455" s="381"/>
    </row>
    <row r="456" spans="1:12" ht="75" customHeight="1" x14ac:dyDescent="0.3">
      <c r="A456" s="401"/>
      <c r="B456" s="402"/>
      <c r="C456" s="402"/>
      <c r="D456" s="403"/>
      <c r="E456" s="394"/>
      <c r="F456" s="293"/>
      <c r="G456" s="240" t="s">
        <v>65</v>
      </c>
      <c r="H456" s="28">
        <f>H393</f>
        <v>3660.9</v>
      </c>
      <c r="I456" s="28">
        <f>I393</f>
        <v>2027.8</v>
      </c>
      <c r="J456" s="28">
        <f>J393</f>
        <v>1413.5</v>
      </c>
      <c r="K456" s="28">
        <f>K393</f>
        <v>219.6</v>
      </c>
      <c r="L456" s="381"/>
    </row>
    <row r="457" spans="1:12" ht="75" customHeight="1" x14ac:dyDescent="0.3">
      <c r="A457" s="401"/>
      <c r="B457" s="402"/>
      <c r="C457" s="402"/>
      <c r="D457" s="403"/>
      <c r="E457" s="348" t="s">
        <v>133</v>
      </c>
      <c r="F457" s="293"/>
      <c r="G457" s="256" t="s">
        <v>64</v>
      </c>
      <c r="H457" s="26">
        <f>SUM(H458:H460)</f>
        <v>251301.72500000001</v>
      </c>
      <c r="I457" s="26">
        <f>SUM(I458:I460)</f>
        <v>49984.4</v>
      </c>
      <c r="J457" s="26">
        <f>SUM(J458:J460)</f>
        <v>117023.925</v>
      </c>
      <c r="K457" s="26">
        <f>SUM(K458:K460)</f>
        <v>84293.4</v>
      </c>
      <c r="L457" s="381"/>
    </row>
    <row r="458" spans="1:12" ht="75" customHeight="1" x14ac:dyDescent="0.3">
      <c r="A458" s="401"/>
      <c r="B458" s="402"/>
      <c r="C458" s="402"/>
      <c r="D458" s="403"/>
      <c r="E458" s="349"/>
      <c r="F458" s="293"/>
      <c r="G458" s="66" t="s">
        <v>148</v>
      </c>
      <c r="H458" s="28">
        <f t="shared" ref="H458:K459" si="41">H329</f>
        <v>10760.7</v>
      </c>
      <c r="I458" s="28">
        <f t="shared" si="41"/>
        <v>2954.2999999999997</v>
      </c>
      <c r="J458" s="28">
        <f t="shared" si="41"/>
        <v>3813</v>
      </c>
      <c r="K458" s="28">
        <f t="shared" si="41"/>
        <v>3993.4</v>
      </c>
      <c r="L458" s="381"/>
    </row>
    <row r="459" spans="1:12" ht="75" customHeight="1" x14ac:dyDescent="0.3">
      <c r="A459" s="401"/>
      <c r="B459" s="402"/>
      <c r="C459" s="402"/>
      <c r="D459" s="403"/>
      <c r="E459" s="349"/>
      <c r="F459" s="293"/>
      <c r="G459" s="240" t="s">
        <v>151</v>
      </c>
      <c r="H459" s="28">
        <f t="shared" si="41"/>
        <v>222239.72500000001</v>
      </c>
      <c r="I459" s="28">
        <f t="shared" si="41"/>
        <v>30493</v>
      </c>
      <c r="J459" s="28">
        <f t="shared" si="41"/>
        <v>111446.72500000001</v>
      </c>
      <c r="K459" s="28">
        <f t="shared" si="41"/>
        <v>80300</v>
      </c>
      <c r="L459" s="381"/>
    </row>
    <row r="460" spans="1:12" ht="75" customHeight="1" x14ac:dyDescent="0.3">
      <c r="A460" s="401"/>
      <c r="B460" s="402"/>
      <c r="C460" s="402"/>
      <c r="D460" s="403"/>
      <c r="E460" s="394"/>
      <c r="F460" s="293"/>
      <c r="G460" s="221" t="s">
        <v>351</v>
      </c>
      <c r="H460" s="28">
        <f t="shared" ref="H460:K462" si="42">H331</f>
        <v>18301.3</v>
      </c>
      <c r="I460" s="28">
        <f t="shared" si="42"/>
        <v>16537.099999999999</v>
      </c>
      <c r="J460" s="28">
        <f t="shared" si="42"/>
        <v>1764.2</v>
      </c>
      <c r="K460" s="28">
        <f t="shared" si="42"/>
        <v>0</v>
      </c>
      <c r="L460" s="381"/>
    </row>
    <row r="461" spans="1:12" ht="122.25" customHeight="1" x14ac:dyDescent="0.3">
      <c r="A461" s="401"/>
      <c r="B461" s="402"/>
      <c r="C461" s="402"/>
      <c r="D461" s="403"/>
      <c r="E461" s="251" t="s">
        <v>61</v>
      </c>
      <c r="F461" s="293"/>
      <c r="G461" s="240" t="s">
        <v>151</v>
      </c>
      <c r="H461" s="28">
        <f t="shared" si="42"/>
        <v>15572</v>
      </c>
      <c r="I461" s="28">
        <f t="shared" si="42"/>
        <v>5000</v>
      </c>
      <c r="J461" s="28">
        <f t="shared" si="42"/>
        <v>10572</v>
      </c>
      <c r="K461" s="28">
        <f t="shared" si="42"/>
        <v>0</v>
      </c>
      <c r="L461" s="381"/>
    </row>
    <row r="462" spans="1:12" ht="116.25" customHeight="1" x14ac:dyDescent="0.3">
      <c r="A462" s="404"/>
      <c r="B462" s="405"/>
      <c r="C462" s="405"/>
      <c r="D462" s="406"/>
      <c r="E462" s="243" t="s">
        <v>304</v>
      </c>
      <c r="F462" s="294"/>
      <c r="G462" s="256" t="s">
        <v>151</v>
      </c>
      <c r="H462" s="28">
        <f t="shared" si="42"/>
        <v>400</v>
      </c>
      <c r="I462" s="28">
        <f t="shared" si="42"/>
        <v>400</v>
      </c>
      <c r="J462" s="28">
        <f t="shared" si="42"/>
        <v>0</v>
      </c>
      <c r="K462" s="28">
        <f t="shared" si="42"/>
        <v>0</v>
      </c>
      <c r="L462" s="381"/>
    </row>
    <row r="463" spans="1:12" s="78" customFormat="1" ht="75" customHeight="1" x14ac:dyDescent="0.65">
      <c r="A463" s="77"/>
      <c r="B463" s="78" t="s">
        <v>558</v>
      </c>
      <c r="C463" s="79"/>
      <c r="D463" s="80"/>
      <c r="E463" s="80"/>
      <c r="F463" s="77"/>
      <c r="G463" s="81"/>
      <c r="H463" s="81"/>
      <c r="I463" s="77"/>
      <c r="J463" s="81"/>
      <c r="K463" s="46"/>
      <c r="L463" s="163"/>
    </row>
    <row r="464" spans="1:12" s="78" customFormat="1" ht="50.25" customHeight="1" x14ac:dyDescent="0.65">
      <c r="A464" s="77"/>
      <c r="B464" s="78" t="s">
        <v>559</v>
      </c>
      <c r="C464" s="79"/>
      <c r="D464" s="80"/>
      <c r="E464" s="80"/>
      <c r="F464" s="77"/>
      <c r="G464" s="81"/>
      <c r="H464" s="81"/>
      <c r="I464" s="77" t="s">
        <v>560</v>
      </c>
      <c r="J464" s="81"/>
      <c r="K464" s="46"/>
      <c r="L464" s="163"/>
    </row>
    <row r="465" spans="1:12" ht="75" customHeight="1" x14ac:dyDescent="0.85">
      <c r="A465" s="83" t="s">
        <v>544</v>
      </c>
      <c r="B465" s="84"/>
      <c r="K465" s="85"/>
    </row>
    <row r="467" spans="1:12" s="86" customFormat="1" ht="75" customHeight="1" x14ac:dyDescent="0.5">
      <c r="C467" s="87"/>
      <c r="D467" s="88"/>
      <c r="F467" s="89"/>
      <c r="G467" s="89"/>
      <c r="H467" s="90"/>
      <c r="I467" s="82"/>
      <c r="J467" s="90"/>
      <c r="K467" s="46"/>
      <c r="L467" s="196"/>
    </row>
    <row r="468" spans="1:12" ht="75" customHeight="1" x14ac:dyDescent="0.4">
      <c r="A468" s="91"/>
      <c r="B468" s="91"/>
      <c r="C468" s="92"/>
      <c r="D468" s="93"/>
      <c r="E468" s="94"/>
      <c r="F468" s="95"/>
      <c r="G468" s="96"/>
      <c r="H468" s="90"/>
      <c r="I468" s="82"/>
      <c r="J468" s="90"/>
      <c r="K468" s="85"/>
    </row>
    <row r="469" spans="1:12" ht="75" customHeight="1" x14ac:dyDescent="0.4">
      <c r="A469" s="91"/>
      <c r="B469" s="91"/>
      <c r="C469" s="92"/>
      <c r="D469" s="93"/>
      <c r="E469" s="94"/>
      <c r="F469" s="95"/>
      <c r="G469" s="96"/>
      <c r="H469" s="90"/>
      <c r="I469" s="82"/>
      <c r="J469" s="90"/>
    </row>
    <row r="470" spans="1:12" ht="75" customHeight="1" x14ac:dyDescent="0.4">
      <c r="A470" s="91"/>
      <c r="B470" s="91"/>
      <c r="C470" s="92"/>
      <c r="D470" s="93"/>
      <c r="E470" s="94"/>
      <c r="F470" s="95"/>
      <c r="G470" s="96"/>
      <c r="H470" s="90"/>
      <c r="I470" s="82"/>
      <c r="J470" s="90"/>
    </row>
    <row r="471" spans="1:12" ht="75" customHeight="1" x14ac:dyDescent="0.4">
      <c r="A471" s="97"/>
      <c r="B471" s="91"/>
      <c r="D471" s="93"/>
      <c r="E471" s="94"/>
      <c r="F471" s="95"/>
      <c r="G471" s="96"/>
      <c r="H471" s="90"/>
      <c r="I471" s="90"/>
      <c r="J471" s="90"/>
    </row>
  </sheetData>
  <autoFilter ref="A7:L463">
    <filterColumn colId="7" showButton="0"/>
    <filterColumn colId="8" showButton="0"/>
    <filterColumn colId="9" showButton="0"/>
  </autoFilter>
  <mergeCells count="324">
    <mergeCell ref="A196:A270"/>
    <mergeCell ref="B196:B270"/>
    <mergeCell ref="E182:F182"/>
    <mergeCell ref="F187:F190"/>
    <mergeCell ref="A195:L195"/>
    <mergeCell ref="F214:F221"/>
    <mergeCell ref="L213:L222"/>
    <mergeCell ref="F248:F250"/>
    <mergeCell ref="F237:F239"/>
    <mergeCell ref="G237:G239"/>
    <mergeCell ref="C223:C235"/>
    <mergeCell ref="L201:L209"/>
    <mergeCell ref="C236:C239"/>
    <mergeCell ref="C247:C253"/>
    <mergeCell ref="L247:L253"/>
    <mergeCell ref="G202:G212"/>
    <mergeCell ref="L223:L231"/>
    <mergeCell ref="D223:G223"/>
    <mergeCell ref="F224:F234"/>
    <mergeCell ref="G224:G233"/>
    <mergeCell ref="L87:L89"/>
    <mergeCell ref="L90:L92"/>
    <mergeCell ref="C161:C164"/>
    <mergeCell ref="D169:G169"/>
    <mergeCell ref="L124:L125"/>
    <mergeCell ref="E124:E125"/>
    <mergeCell ref="A124:D125"/>
    <mergeCell ref="A126:G126"/>
    <mergeCell ref="L126:L151"/>
    <mergeCell ref="L118:L119"/>
    <mergeCell ref="A130:D151"/>
    <mergeCell ref="E150:E151"/>
    <mergeCell ref="F130:F151"/>
    <mergeCell ref="L94:L112"/>
    <mergeCell ref="F115:F117"/>
    <mergeCell ref="B113:B117"/>
    <mergeCell ref="B120:B123"/>
    <mergeCell ref="E132:E133"/>
    <mergeCell ref="C90:C92"/>
    <mergeCell ref="L187:L188"/>
    <mergeCell ref="C172:C174"/>
    <mergeCell ref="D157:G157"/>
    <mergeCell ref="C157:C160"/>
    <mergeCell ref="F158:F160"/>
    <mergeCell ref="C169:C171"/>
    <mergeCell ref="F170:F171"/>
    <mergeCell ref="G88:G89"/>
    <mergeCell ref="G44:G48"/>
    <mergeCell ref="F44:F48"/>
    <mergeCell ref="C43:C48"/>
    <mergeCell ref="C114:C115"/>
    <mergeCell ref="F113:F114"/>
    <mergeCell ref="G114:G115"/>
    <mergeCell ref="D72:G72"/>
    <mergeCell ref="C59:C65"/>
    <mergeCell ref="F60:F65"/>
    <mergeCell ref="G60:G65"/>
    <mergeCell ref="L191:L193"/>
    <mergeCell ref="L177:L184"/>
    <mergeCell ref="A185:L185"/>
    <mergeCell ref="E183:F183"/>
    <mergeCell ref="D173:D174"/>
    <mergeCell ref="G166:G168"/>
    <mergeCell ref="A177:F177"/>
    <mergeCell ref="C165:C168"/>
    <mergeCell ref="F166:F168"/>
    <mergeCell ref="F173:F174"/>
    <mergeCell ref="E180:F180"/>
    <mergeCell ref="E181:F181"/>
    <mergeCell ref="B186:B190"/>
    <mergeCell ref="A186:A190"/>
    <mergeCell ref="D172:G172"/>
    <mergeCell ref="B153:B176"/>
    <mergeCell ref="C153:C156"/>
    <mergeCell ref="G173:G174"/>
    <mergeCell ref="G170:G171"/>
    <mergeCell ref="D170:D171"/>
    <mergeCell ref="L169:L171"/>
    <mergeCell ref="A153:A176"/>
    <mergeCell ref="G154:G156"/>
    <mergeCell ref="A192:F194"/>
    <mergeCell ref="L18:L20"/>
    <mergeCell ref="C12:C14"/>
    <mergeCell ref="C15:C17"/>
    <mergeCell ref="C18:C20"/>
    <mergeCell ref="F16:F17"/>
    <mergeCell ref="D153:G153"/>
    <mergeCell ref="F154:F156"/>
    <mergeCell ref="A11:L11"/>
    <mergeCell ref="F13:F14"/>
    <mergeCell ref="G13:G14"/>
    <mergeCell ref="F19:F20"/>
    <mergeCell ref="G19:G20"/>
    <mergeCell ref="L12:L17"/>
    <mergeCell ref="E142:E143"/>
    <mergeCell ref="E144:E145"/>
    <mergeCell ref="D12:G12"/>
    <mergeCell ref="D15:G15"/>
    <mergeCell ref="D18:G18"/>
    <mergeCell ref="G16:G17"/>
    <mergeCell ref="E33:G33"/>
    <mergeCell ref="D37:G37"/>
    <mergeCell ref="A94:D112"/>
    <mergeCell ref="C37:C42"/>
    <mergeCell ref="F38:F42"/>
    <mergeCell ref="A5:L5"/>
    <mergeCell ref="A7:A9"/>
    <mergeCell ref="B7:B9"/>
    <mergeCell ref="C7:C9"/>
    <mergeCell ref="D7:D9"/>
    <mergeCell ref="E7:E9"/>
    <mergeCell ref="F7:F9"/>
    <mergeCell ref="G7:G9"/>
    <mergeCell ref="H7:K7"/>
    <mergeCell ref="L7:L9"/>
    <mergeCell ref="H8:H9"/>
    <mergeCell ref="I8:K8"/>
    <mergeCell ref="L24:L27"/>
    <mergeCell ref="C29:C31"/>
    <mergeCell ref="L29:L31"/>
    <mergeCell ref="L21:L23"/>
    <mergeCell ref="G25:G27"/>
    <mergeCell ref="D24:G24"/>
    <mergeCell ref="F25:F27"/>
    <mergeCell ref="C24:C27"/>
    <mergeCell ref="D29:G29"/>
    <mergeCell ref="F22:F23"/>
    <mergeCell ref="G22:G23"/>
    <mergeCell ref="C21:C23"/>
    <mergeCell ref="F30:F32"/>
    <mergeCell ref="G30:G32"/>
    <mergeCell ref="D21:G21"/>
    <mergeCell ref="A373:D383"/>
    <mergeCell ref="A367:D369"/>
    <mergeCell ref="A357:D357"/>
    <mergeCell ref="B365:F365"/>
    <mergeCell ref="A334:L334"/>
    <mergeCell ref="L365:L369"/>
    <mergeCell ref="E302:E305"/>
    <mergeCell ref="E306:E309"/>
    <mergeCell ref="F296:F333"/>
    <mergeCell ref="E310:E315"/>
    <mergeCell ref="E325:E327"/>
    <mergeCell ref="E322:E324"/>
    <mergeCell ref="E328:E331"/>
    <mergeCell ref="A296:D333"/>
    <mergeCell ref="E296:E298"/>
    <mergeCell ref="E299:E301"/>
    <mergeCell ref="B356:F356"/>
    <mergeCell ref="A342:D355"/>
    <mergeCell ref="E352:E355"/>
    <mergeCell ref="E342:E344"/>
    <mergeCell ref="G360:G362"/>
    <mergeCell ref="B335:F335"/>
    <mergeCell ref="L341:L355"/>
    <mergeCell ref="E349:E350"/>
    <mergeCell ref="A366:D366"/>
    <mergeCell ref="L363:L364"/>
    <mergeCell ref="E442:E446"/>
    <mergeCell ref="E415:E420"/>
    <mergeCell ref="E421:E428"/>
    <mergeCell ref="F274:F288"/>
    <mergeCell ref="G251:G253"/>
    <mergeCell ref="D201:G201"/>
    <mergeCell ref="A272:F272"/>
    <mergeCell ref="E278:E279"/>
    <mergeCell ref="E280:E281"/>
    <mergeCell ref="A289:F289"/>
    <mergeCell ref="E319:E321"/>
    <mergeCell ref="E316:E318"/>
    <mergeCell ref="A290:F295"/>
    <mergeCell ref="G260:G270"/>
    <mergeCell ref="D213:G213"/>
    <mergeCell ref="G214:G221"/>
    <mergeCell ref="E276:E277"/>
    <mergeCell ref="F251:F253"/>
    <mergeCell ref="C201:C211"/>
    <mergeCell ref="C213:C222"/>
    <mergeCell ref="F202:F212"/>
    <mergeCell ref="D236:G236"/>
    <mergeCell ref="A274:D288"/>
    <mergeCell ref="G248:G250"/>
    <mergeCell ref="L394:L462"/>
    <mergeCell ref="L384:L393"/>
    <mergeCell ref="E452:E456"/>
    <mergeCell ref="A395:F403"/>
    <mergeCell ref="A404:D462"/>
    <mergeCell ref="L372:L383"/>
    <mergeCell ref="A385:D393"/>
    <mergeCell ref="A364:D364"/>
    <mergeCell ref="B363:F363"/>
    <mergeCell ref="F385:F393"/>
    <mergeCell ref="F373:F381"/>
    <mergeCell ref="G373:G381"/>
    <mergeCell ref="G385:G393"/>
    <mergeCell ref="F404:F462"/>
    <mergeCell ref="A394:F394"/>
    <mergeCell ref="E457:E460"/>
    <mergeCell ref="E429:E436"/>
    <mergeCell ref="E447:E451"/>
    <mergeCell ref="E404:E409"/>
    <mergeCell ref="E410:E414"/>
    <mergeCell ref="E437:E441"/>
    <mergeCell ref="G366:G371"/>
    <mergeCell ref="L254:L258"/>
    <mergeCell ref="L241:L246"/>
    <mergeCell ref="L259:L268"/>
    <mergeCell ref="C259:C268"/>
    <mergeCell ref="A178:B178"/>
    <mergeCell ref="E345:E346"/>
    <mergeCell ref="A336:D340"/>
    <mergeCell ref="F342:F355"/>
    <mergeCell ref="G357:G359"/>
    <mergeCell ref="G336:G340"/>
    <mergeCell ref="F336:F340"/>
    <mergeCell ref="B341:F341"/>
    <mergeCell ref="L335:L340"/>
    <mergeCell ref="E347:E348"/>
    <mergeCell ref="C196:C200"/>
    <mergeCell ref="D234:E234"/>
    <mergeCell ref="L196:L200"/>
    <mergeCell ref="L271:L288"/>
    <mergeCell ref="L289:L294"/>
    <mergeCell ref="C240:C246"/>
    <mergeCell ref="D240:G240"/>
    <mergeCell ref="F241:F243"/>
    <mergeCell ref="F244:F246"/>
    <mergeCell ref="G241:G243"/>
    <mergeCell ref="A271:G271"/>
    <mergeCell ref="A191:F191"/>
    <mergeCell ref="E179:F179"/>
    <mergeCell ref="A179:D184"/>
    <mergeCell ref="E184:F184"/>
    <mergeCell ref="G80:G81"/>
    <mergeCell ref="C79:C82"/>
    <mergeCell ref="C69:C70"/>
    <mergeCell ref="D66:G66"/>
    <mergeCell ref="F162:F164"/>
    <mergeCell ref="G162:G164"/>
    <mergeCell ref="D165:G165"/>
    <mergeCell ref="D254:G254"/>
    <mergeCell ref="D259:G259"/>
    <mergeCell ref="F255:F258"/>
    <mergeCell ref="D247:G247"/>
    <mergeCell ref="G255:G258"/>
    <mergeCell ref="G244:G246"/>
    <mergeCell ref="C254:C258"/>
    <mergeCell ref="D269:E269"/>
    <mergeCell ref="F260:F269"/>
    <mergeCell ref="G84:G85"/>
    <mergeCell ref="C83:C86"/>
    <mergeCell ref="D83:G83"/>
    <mergeCell ref="D59:G59"/>
    <mergeCell ref="F122:F123"/>
    <mergeCell ref="F124:F125"/>
    <mergeCell ref="E134:E135"/>
    <mergeCell ref="E136:E137"/>
    <mergeCell ref="E111:F112"/>
    <mergeCell ref="E103:F104"/>
    <mergeCell ref="E98:F98"/>
    <mergeCell ref="D161:G161"/>
    <mergeCell ref="D90:G90"/>
    <mergeCell ref="G91:G92"/>
    <mergeCell ref="E118:E119"/>
    <mergeCell ref="F118:F119"/>
    <mergeCell ref="A118:D119"/>
    <mergeCell ref="E99:F100"/>
    <mergeCell ref="B37:B93"/>
    <mergeCell ref="F69:F71"/>
    <mergeCell ref="C53:C58"/>
    <mergeCell ref="D53:G53"/>
    <mergeCell ref="F54:F58"/>
    <mergeCell ref="G54:G58"/>
    <mergeCell ref="C87:C89"/>
    <mergeCell ref="D87:G87"/>
    <mergeCell ref="F88:F89"/>
    <mergeCell ref="L67:L68"/>
    <mergeCell ref="D79:G79"/>
    <mergeCell ref="L37:L41"/>
    <mergeCell ref="L33:L35"/>
    <mergeCell ref="L69:L70"/>
    <mergeCell ref="L59:L64"/>
    <mergeCell ref="L157:L160"/>
    <mergeCell ref="G158:G160"/>
    <mergeCell ref="L172:L174"/>
    <mergeCell ref="L80:L81"/>
    <mergeCell ref="L84:L86"/>
    <mergeCell ref="L43:L48"/>
    <mergeCell ref="L153:L156"/>
    <mergeCell ref="L165:L168"/>
    <mergeCell ref="L161:L164"/>
    <mergeCell ref="D43:G43"/>
    <mergeCell ref="E140:E141"/>
    <mergeCell ref="E101:F102"/>
    <mergeCell ref="E105:F106"/>
    <mergeCell ref="F34:F36"/>
    <mergeCell ref="G34:G36"/>
    <mergeCell ref="A33:D36"/>
    <mergeCell ref="G38:G42"/>
    <mergeCell ref="F91:F92"/>
    <mergeCell ref="B12:B32"/>
    <mergeCell ref="A12:A32"/>
    <mergeCell ref="F197:F200"/>
    <mergeCell ref="G197:G200"/>
    <mergeCell ref="G179:G184"/>
    <mergeCell ref="C187:C188"/>
    <mergeCell ref="D187:D188"/>
    <mergeCell ref="E187:E188"/>
    <mergeCell ref="D196:G196"/>
    <mergeCell ref="A43:A93"/>
    <mergeCell ref="A113:A114"/>
    <mergeCell ref="F120:F121"/>
    <mergeCell ref="A120:A123"/>
    <mergeCell ref="A152:L152"/>
    <mergeCell ref="E138:E139"/>
    <mergeCell ref="A127:F129"/>
    <mergeCell ref="E130:E131"/>
    <mergeCell ref="E94:F97"/>
    <mergeCell ref="E107:F110"/>
    <mergeCell ref="E146:E149"/>
    <mergeCell ref="L53:L57"/>
    <mergeCell ref="C67:C68"/>
    <mergeCell ref="F67:F68"/>
    <mergeCell ref="G67:G68"/>
  </mergeCells>
  <pageMargins left="0.78740157480314965" right="0.78740157480314965" top="1.1023622047244095" bottom="0.39370078740157483" header="0.31496062992125984" footer="0.31496062992125984"/>
  <pageSetup paperSize="9" scale="29" fitToHeight="25" orientation="landscape" r:id="rId1"/>
  <rowBreaks count="20" manualBreakCount="20">
    <brk id="31" max="11" man="1"/>
    <brk id="51" max="11" man="1"/>
    <brk id="79" max="11" man="1"/>
    <brk id="92" max="11" man="1"/>
    <brk id="113" max="11" man="1"/>
    <brk id="124" max="11" man="1"/>
    <brk id="143" max="11" man="1"/>
    <brk id="164" max="11" man="1"/>
    <brk id="178" max="11" man="1"/>
    <brk id="190" max="11" man="1"/>
    <brk id="222" max="11" man="1"/>
    <brk id="237" max="11" man="1"/>
    <brk id="265" max="11" man="1"/>
    <brk id="278" max="11" man="1"/>
    <brk id="287" max="11" man="1"/>
    <brk id="302" max="11" man="1"/>
    <brk id="313" max="11" man="1"/>
    <brk id="332" max="11" man="1"/>
    <brk id="353" max="11" man="1"/>
    <brk id="46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1"/>
  <sheetViews>
    <sheetView view="pageBreakPreview" zoomScale="40" zoomScaleNormal="40" zoomScaleSheetLayoutView="40" workbookViewId="0">
      <pane ySplit="11" topLeftCell="A12" activePane="bottomLeft" state="frozen"/>
      <selection pane="bottomLeft" sqref="A1:XFD1048576"/>
    </sheetView>
  </sheetViews>
  <sheetFormatPr defaultColWidth="9.140625" defaultRowHeight="28.5" customHeight="1" x14ac:dyDescent="0.3"/>
  <cols>
    <col min="1" max="1" width="86.28515625" style="111" customWidth="1"/>
    <col min="2" max="2" width="27" style="111" customWidth="1"/>
    <col min="3" max="3" width="24.85546875" style="111" customWidth="1"/>
    <col min="4" max="4" width="25.5703125" style="111" customWidth="1"/>
    <col min="5" max="5" width="25.42578125" style="111" customWidth="1"/>
    <col min="6" max="6" width="25.5703125" style="111" customWidth="1"/>
    <col min="7" max="7" width="24.7109375" style="111" customWidth="1"/>
    <col min="8" max="8" width="25.5703125" style="111" customWidth="1"/>
    <col min="9" max="9" width="24.42578125" style="111" customWidth="1"/>
    <col min="10" max="10" width="25.42578125" style="111" customWidth="1"/>
    <col min="11" max="11" width="25.85546875" style="111" customWidth="1"/>
    <col min="12" max="16384" width="9.140625" style="111"/>
  </cols>
  <sheetData>
    <row r="1" spans="1:11" ht="56.25" customHeight="1" x14ac:dyDescent="0.45">
      <c r="H1" s="217" t="s">
        <v>519</v>
      </c>
      <c r="I1" s="218"/>
      <c r="J1" s="218"/>
      <c r="K1" s="218"/>
    </row>
    <row r="2" spans="1:11" ht="67.5" customHeight="1" x14ac:dyDescent="0.45">
      <c r="H2" s="507" t="s">
        <v>562</v>
      </c>
      <c r="I2" s="507"/>
      <c r="J2" s="507"/>
      <c r="K2" s="507"/>
    </row>
    <row r="3" spans="1:11" ht="42" customHeight="1" x14ac:dyDescent="0.45">
      <c r="A3" s="113"/>
      <c r="H3" s="509" t="s">
        <v>571</v>
      </c>
      <c r="I3" s="509"/>
      <c r="J3" s="509"/>
      <c r="K3" s="509"/>
    </row>
    <row r="4" spans="1:11" ht="42" customHeight="1" x14ac:dyDescent="0.45">
      <c r="A4" s="113"/>
      <c r="H4" s="509"/>
      <c r="I4" s="509"/>
      <c r="J4" s="509"/>
      <c r="K4" s="509"/>
    </row>
    <row r="5" spans="1:11" ht="75" customHeight="1" x14ac:dyDescent="0.4">
      <c r="H5" s="112"/>
      <c r="I5" s="112"/>
      <c r="J5" s="112"/>
      <c r="K5" s="114"/>
    </row>
    <row r="6" spans="1:11" ht="101.25" customHeight="1" x14ac:dyDescent="0.3">
      <c r="A6" s="510" t="s">
        <v>170</v>
      </c>
      <c r="B6" s="510"/>
      <c r="C6" s="510"/>
      <c r="D6" s="510"/>
      <c r="E6" s="510"/>
      <c r="F6" s="510"/>
      <c r="G6" s="510"/>
      <c r="H6" s="510"/>
      <c r="I6" s="510"/>
      <c r="J6" s="510"/>
      <c r="K6" s="510"/>
    </row>
    <row r="7" spans="1:11" ht="21" hidden="1" customHeight="1" x14ac:dyDescent="0.3">
      <c r="A7" s="115"/>
    </row>
    <row r="8" spans="1:11" ht="28.5" customHeight="1" x14ac:dyDescent="0.3">
      <c r="A8" s="511" t="s">
        <v>72</v>
      </c>
      <c r="B8" s="511" t="s">
        <v>64</v>
      </c>
      <c r="C8" s="511" t="s">
        <v>154</v>
      </c>
      <c r="D8" s="511"/>
      <c r="E8" s="511"/>
      <c r="F8" s="511" t="s">
        <v>155</v>
      </c>
      <c r="G8" s="511"/>
      <c r="H8" s="511"/>
      <c r="I8" s="511" t="s">
        <v>156</v>
      </c>
      <c r="J8" s="511"/>
      <c r="K8" s="511"/>
    </row>
    <row r="9" spans="1:11" ht="28.5" customHeight="1" x14ac:dyDescent="0.3">
      <c r="A9" s="511"/>
      <c r="B9" s="511"/>
      <c r="C9" s="511"/>
      <c r="D9" s="511"/>
      <c r="E9" s="511"/>
      <c r="F9" s="511"/>
      <c r="G9" s="511"/>
      <c r="H9" s="511"/>
      <c r="I9" s="511"/>
      <c r="J9" s="511"/>
      <c r="K9" s="511"/>
    </row>
    <row r="10" spans="1:11" ht="28.5" customHeight="1" x14ac:dyDescent="0.3">
      <c r="A10" s="511"/>
      <c r="B10" s="511"/>
      <c r="C10" s="512" t="s">
        <v>68</v>
      </c>
      <c r="D10" s="512" t="s">
        <v>73</v>
      </c>
      <c r="E10" s="512"/>
      <c r="F10" s="512" t="s">
        <v>68</v>
      </c>
      <c r="G10" s="512" t="s">
        <v>73</v>
      </c>
      <c r="H10" s="512"/>
      <c r="I10" s="512" t="s">
        <v>68</v>
      </c>
      <c r="J10" s="512" t="s">
        <v>73</v>
      </c>
      <c r="K10" s="512"/>
    </row>
    <row r="11" spans="1:11" ht="48" customHeight="1" x14ac:dyDescent="0.3">
      <c r="A11" s="511"/>
      <c r="B11" s="511"/>
      <c r="C11" s="512"/>
      <c r="D11" s="264" t="s">
        <v>74</v>
      </c>
      <c r="E11" s="264" t="s">
        <v>75</v>
      </c>
      <c r="F11" s="512"/>
      <c r="G11" s="264" t="s">
        <v>74</v>
      </c>
      <c r="H11" s="264" t="s">
        <v>75</v>
      </c>
      <c r="I11" s="512"/>
      <c r="J11" s="264" t="s">
        <v>74</v>
      </c>
      <c r="K11" s="264" t="s">
        <v>75</v>
      </c>
    </row>
    <row r="12" spans="1:11" ht="32.25" customHeight="1" x14ac:dyDescent="0.3">
      <c r="A12" s="263">
        <v>1</v>
      </c>
      <c r="B12" s="116">
        <v>2</v>
      </c>
      <c r="C12" s="264">
        <v>3</v>
      </c>
      <c r="D12" s="264">
        <v>4</v>
      </c>
      <c r="E12" s="264">
        <v>5</v>
      </c>
      <c r="F12" s="264">
        <v>6</v>
      </c>
      <c r="G12" s="264">
        <v>7</v>
      </c>
      <c r="H12" s="264">
        <v>8</v>
      </c>
      <c r="I12" s="264">
        <v>9</v>
      </c>
      <c r="J12" s="264">
        <v>10</v>
      </c>
      <c r="K12" s="264">
        <v>11</v>
      </c>
    </row>
    <row r="13" spans="1:11" ht="68.25" customHeight="1" x14ac:dyDescent="0.3">
      <c r="A13" s="117" t="s">
        <v>209</v>
      </c>
      <c r="B13" s="118">
        <f>B16+B314+B411+B460</f>
        <v>817212920</v>
      </c>
      <c r="C13" s="118">
        <f>C16+C314+C411+C460</f>
        <v>225046120</v>
      </c>
      <c r="D13" s="118">
        <f>D16+D314+D411</f>
        <v>100957100</v>
      </c>
      <c r="E13" s="118">
        <f>E460+E458</f>
        <v>124089020</v>
      </c>
      <c r="F13" s="118">
        <f>F16+F314+F411+F460</f>
        <v>383408225</v>
      </c>
      <c r="G13" s="118">
        <f t="shared" ref="G13:K13" si="0">G16+G314+G411+G460</f>
        <v>122378700</v>
      </c>
      <c r="H13" s="118">
        <f>H16+H314+H411+H460</f>
        <v>261029525</v>
      </c>
      <c r="I13" s="118">
        <f t="shared" si="0"/>
        <v>208758700</v>
      </c>
      <c r="J13" s="118">
        <f t="shared" si="0"/>
        <v>100458700</v>
      </c>
      <c r="K13" s="118">
        <f t="shared" si="0"/>
        <v>108300000</v>
      </c>
    </row>
    <row r="14" spans="1:11" ht="64.5" customHeight="1" x14ac:dyDescent="0.3">
      <c r="A14" s="508" t="s">
        <v>178</v>
      </c>
      <c r="B14" s="505"/>
      <c r="C14" s="505"/>
      <c r="D14" s="505"/>
      <c r="E14" s="505"/>
      <c r="F14" s="505"/>
      <c r="G14" s="505"/>
      <c r="H14" s="505"/>
      <c r="I14" s="505"/>
      <c r="J14" s="505"/>
      <c r="K14" s="505"/>
    </row>
    <row r="15" spans="1:11" ht="39.75" customHeight="1" x14ac:dyDescent="0.3">
      <c r="A15" s="506" t="s">
        <v>105</v>
      </c>
      <c r="B15" s="506"/>
      <c r="C15" s="506"/>
      <c r="D15" s="506"/>
      <c r="E15" s="506"/>
      <c r="F15" s="506"/>
      <c r="G15" s="506"/>
      <c r="H15" s="506"/>
      <c r="I15" s="506"/>
      <c r="J15" s="506"/>
      <c r="K15" s="506"/>
    </row>
    <row r="16" spans="1:11" ht="42" customHeight="1" x14ac:dyDescent="0.3">
      <c r="A16" s="262" t="s">
        <v>210</v>
      </c>
      <c r="B16" s="119">
        <f>C16+F16+I16</f>
        <v>255697600</v>
      </c>
      <c r="C16" s="119">
        <f>C25+C35+C44+C64+C74+C83+C90+C99+C113+C129+C145+C174+C190+C199+C208+C216+C224+C239+C249+C259+C267+C281+C295+C305+C157</f>
        <v>80227900</v>
      </c>
      <c r="D16" s="119">
        <f>D25+D35+D44+D64+D74+D83+D90+D99+D113+D129+D145+D174+D190+D199+D208+D216+D224+D239+D249+D259+D267+D281+D295+D305+D157</f>
        <v>80227900</v>
      </c>
      <c r="E16" s="119">
        <f>E25+E35+E44+E64+E74+E83+E90+E99+E129+E145+E174+E239+E267+E295</f>
        <v>0</v>
      </c>
      <c r="F16" s="119">
        <f>F25+F44+F64+F74+F90+F99+F129+F145+F174+F199+F216+F224+F249+F281+F305+F35</f>
        <v>98369700</v>
      </c>
      <c r="G16" s="119">
        <f>G25+G44+G64+G74+G90+G99+G129+G145+G174+G199+G216+G224+G249+G281+G305+G35</f>
        <v>98369700</v>
      </c>
      <c r="H16" s="119">
        <f>H25+H35+H44+H64+H74+H83+H90+H99+H129+H145+H174+H239+H267+H295</f>
        <v>0</v>
      </c>
      <c r="I16" s="119">
        <f>J16</f>
        <v>77100000</v>
      </c>
      <c r="J16" s="119">
        <f>J25+J44+J64+J74+J90+J99+J129+J145+J174+J199+J216+J224+J249+J281+J305+J35</f>
        <v>77100000</v>
      </c>
      <c r="K16" s="119">
        <f>K25+K35+K44+K64+K74+K83+K90+K99+K129+K145+K174+K239+K267+K295</f>
        <v>0</v>
      </c>
    </row>
    <row r="17" spans="1:11" ht="21" hidden="1" customHeight="1" x14ac:dyDescent="0.3">
      <c r="A17" s="120" t="s">
        <v>76</v>
      </c>
      <c r="B17" s="504" t="s">
        <v>114</v>
      </c>
      <c r="C17" s="504"/>
      <c r="D17" s="504"/>
      <c r="E17" s="504"/>
      <c r="F17" s="504"/>
      <c r="G17" s="504"/>
      <c r="H17" s="504"/>
      <c r="I17" s="504"/>
      <c r="J17" s="504"/>
      <c r="K17" s="504"/>
    </row>
    <row r="18" spans="1:11" ht="21" hidden="1" customHeight="1" x14ac:dyDescent="0.3">
      <c r="A18" s="261" t="s">
        <v>82</v>
      </c>
      <c r="B18" s="495" t="s">
        <v>83</v>
      </c>
      <c r="C18" s="496"/>
      <c r="D18" s="496"/>
      <c r="E18" s="496"/>
      <c r="F18" s="496"/>
      <c r="G18" s="496"/>
      <c r="H18" s="496"/>
      <c r="I18" s="496"/>
      <c r="J18" s="496"/>
      <c r="K18" s="497"/>
    </row>
    <row r="19" spans="1:11" ht="21" hidden="1" customHeight="1" x14ac:dyDescent="0.3">
      <c r="A19" s="258" t="s">
        <v>77</v>
      </c>
      <c r="B19" s="258">
        <f>C19+F19+I19</f>
        <v>0</v>
      </c>
      <c r="C19" s="258">
        <f>D19+E19</f>
        <v>0</v>
      </c>
      <c r="D19" s="258">
        <f>Дод.3!I12*1000</f>
        <v>0</v>
      </c>
      <c r="E19" s="258">
        <v>0</v>
      </c>
      <c r="F19" s="258">
        <f>G19+H19</f>
        <v>0</v>
      </c>
      <c r="G19" s="258">
        <f>Дод.3!J12*1000</f>
        <v>0</v>
      </c>
      <c r="H19" s="258">
        <v>0</v>
      </c>
      <c r="I19" s="258">
        <f>J19+K19</f>
        <v>0</v>
      </c>
      <c r="J19" s="258">
        <f>Дод.3!K12*1000</f>
        <v>0</v>
      </c>
      <c r="K19" s="258">
        <v>0</v>
      </c>
    </row>
    <row r="20" spans="1:11" ht="21" hidden="1" customHeight="1" x14ac:dyDescent="0.3">
      <c r="A20" s="258" t="s">
        <v>125</v>
      </c>
      <c r="B20" s="258"/>
      <c r="C20" s="120">
        <v>2</v>
      </c>
      <c r="D20" s="120">
        <v>2</v>
      </c>
      <c r="E20" s="258"/>
      <c r="F20" s="120"/>
      <c r="G20" s="120">
        <v>2</v>
      </c>
      <c r="H20" s="120">
        <v>2</v>
      </c>
      <c r="I20" s="120"/>
      <c r="J20" s="258">
        <v>2</v>
      </c>
      <c r="K20" s="258">
        <v>2</v>
      </c>
    </row>
    <row r="21" spans="1:11" ht="21" hidden="1" customHeight="1" x14ac:dyDescent="0.3">
      <c r="A21" s="258" t="s">
        <v>126</v>
      </c>
      <c r="B21" s="120"/>
      <c r="C21" s="120">
        <f>C19/C20</f>
        <v>0</v>
      </c>
      <c r="D21" s="120">
        <f>D19/D20</f>
        <v>0</v>
      </c>
      <c r="E21" s="120"/>
      <c r="F21" s="120"/>
      <c r="G21" s="120">
        <f>G19/G20</f>
        <v>0</v>
      </c>
      <c r="H21" s="120"/>
      <c r="I21" s="120"/>
      <c r="J21" s="120"/>
      <c r="K21" s="258"/>
    </row>
    <row r="22" spans="1:11" ht="28.5" customHeight="1" x14ac:dyDescent="0.3">
      <c r="A22" s="495" t="s">
        <v>180</v>
      </c>
      <c r="B22" s="496"/>
      <c r="C22" s="496"/>
      <c r="D22" s="496"/>
      <c r="E22" s="496"/>
      <c r="F22" s="496"/>
      <c r="G22" s="496"/>
      <c r="H22" s="496"/>
      <c r="I22" s="496"/>
      <c r="J22" s="496"/>
      <c r="K22" s="497"/>
    </row>
    <row r="23" spans="1:11" ht="28.5" customHeight="1" x14ac:dyDescent="0.3">
      <c r="A23" s="495" t="s">
        <v>196</v>
      </c>
      <c r="B23" s="496"/>
      <c r="C23" s="496"/>
      <c r="D23" s="496"/>
      <c r="E23" s="496"/>
      <c r="F23" s="496"/>
      <c r="G23" s="496"/>
      <c r="H23" s="496"/>
      <c r="I23" s="496"/>
      <c r="J23" s="496"/>
      <c r="K23" s="497"/>
    </row>
    <row r="24" spans="1:11" ht="28.5" customHeight="1" x14ac:dyDescent="0.3">
      <c r="A24" s="258" t="s">
        <v>160</v>
      </c>
      <c r="B24" s="258"/>
      <c r="C24" s="258"/>
      <c r="D24" s="258"/>
      <c r="E24" s="258"/>
      <c r="F24" s="258"/>
      <c r="G24" s="258"/>
      <c r="H24" s="258"/>
      <c r="I24" s="258"/>
      <c r="J24" s="258"/>
      <c r="K24" s="258"/>
    </row>
    <row r="25" spans="1:11" ht="28.5" customHeight="1" x14ac:dyDescent="0.3">
      <c r="A25" s="120" t="s">
        <v>211</v>
      </c>
      <c r="B25" s="119">
        <f>C25+F25+I25</f>
        <v>16965900</v>
      </c>
      <c r="C25" s="119">
        <f>D25+E25</f>
        <v>5307100</v>
      </c>
      <c r="D25" s="119">
        <f>Дод.3!I15*1000</f>
        <v>5307100</v>
      </c>
      <c r="E25" s="119"/>
      <c r="F25" s="119">
        <f>G25+H25</f>
        <v>5707000</v>
      </c>
      <c r="G25" s="119">
        <f>Дод.3!J15*1000</f>
        <v>5707000</v>
      </c>
      <c r="H25" s="119"/>
      <c r="I25" s="119">
        <f>J25+K25</f>
        <v>5951799.9999999991</v>
      </c>
      <c r="J25" s="119">
        <f>Дод.3!K15*1000</f>
        <v>5951799.9999999991</v>
      </c>
      <c r="K25" s="119"/>
    </row>
    <row r="26" spans="1:11" ht="28.5" customHeight="1" x14ac:dyDescent="0.3">
      <c r="A26" s="258" t="s">
        <v>116</v>
      </c>
      <c r="B26" s="119"/>
      <c r="C26" s="121"/>
      <c r="D26" s="121"/>
      <c r="E26" s="119"/>
      <c r="F26" s="121"/>
      <c r="G26" s="121"/>
      <c r="H26" s="121"/>
      <c r="I26" s="121"/>
      <c r="J26" s="121"/>
      <c r="K26" s="119"/>
    </row>
    <row r="27" spans="1:11" ht="28.5" customHeight="1" x14ac:dyDescent="0.3">
      <c r="A27" s="120" t="s">
        <v>166</v>
      </c>
      <c r="B27" s="119"/>
      <c r="C27" s="121">
        <v>2</v>
      </c>
      <c r="D27" s="121">
        <v>2</v>
      </c>
      <c r="E27" s="119"/>
      <c r="F27" s="121">
        <v>2</v>
      </c>
      <c r="G27" s="121">
        <v>2</v>
      </c>
      <c r="H27" s="121"/>
      <c r="I27" s="121">
        <v>2</v>
      </c>
      <c r="J27" s="121">
        <v>2</v>
      </c>
      <c r="K27" s="119"/>
    </row>
    <row r="28" spans="1:11" ht="28.5" customHeight="1" x14ac:dyDescent="0.3">
      <c r="A28" s="258" t="s">
        <v>115</v>
      </c>
      <c r="B28" s="121"/>
      <c r="C28" s="121"/>
      <c r="D28" s="121"/>
      <c r="E28" s="121"/>
      <c r="F28" s="121"/>
      <c r="G28" s="121"/>
      <c r="H28" s="121"/>
      <c r="I28" s="121"/>
      <c r="J28" s="121"/>
      <c r="K28" s="119"/>
    </row>
    <row r="29" spans="1:11" ht="28.5" customHeight="1" x14ac:dyDescent="0.3">
      <c r="A29" s="120" t="s">
        <v>212</v>
      </c>
      <c r="B29" s="121"/>
      <c r="C29" s="121">
        <f>C25/C27</f>
        <v>2653550</v>
      </c>
      <c r="D29" s="121">
        <f>D25/D27</f>
        <v>2653550</v>
      </c>
      <c r="E29" s="121"/>
      <c r="F29" s="121">
        <f>F25/F27</f>
        <v>2853500</v>
      </c>
      <c r="G29" s="121">
        <f>G25/G27</f>
        <v>2853500</v>
      </c>
      <c r="H29" s="121"/>
      <c r="I29" s="121">
        <f>I25/I27</f>
        <v>2975899.9999999995</v>
      </c>
      <c r="J29" s="121">
        <f>J25/J27</f>
        <v>2975899.9999999995</v>
      </c>
      <c r="K29" s="121"/>
    </row>
    <row r="30" spans="1:11" ht="28.5" customHeight="1" x14ac:dyDescent="0.3">
      <c r="A30" s="258" t="s">
        <v>81</v>
      </c>
      <c r="B30" s="121"/>
      <c r="C30" s="121"/>
      <c r="D30" s="121"/>
      <c r="E30" s="121"/>
      <c r="F30" s="121"/>
      <c r="G30" s="121"/>
      <c r="H30" s="121"/>
      <c r="I30" s="121"/>
      <c r="J30" s="121"/>
      <c r="K30" s="119"/>
    </row>
    <row r="31" spans="1:11" ht="28.5" customHeight="1" x14ac:dyDescent="0.3">
      <c r="A31" s="120" t="s">
        <v>181</v>
      </c>
      <c r="B31" s="121"/>
      <c r="C31" s="121">
        <v>100</v>
      </c>
      <c r="D31" s="121">
        <v>100</v>
      </c>
      <c r="E31" s="121"/>
      <c r="F31" s="121">
        <v>100</v>
      </c>
      <c r="G31" s="121">
        <v>100</v>
      </c>
      <c r="H31" s="121"/>
      <c r="I31" s="121">
        <v>100</v>
      </c>
      <c r="J31" s="121">
        <v>100</v>
      </c>
      <c r="K31" s="119"/>
    </row>
    <row r="32" spans="1:11" ht="79.5" customHeight="1" x14ac:dyDescent="0.3">
      <c r="A32" s="120" t="s">
        <v>213</v>
      </c>
      <c r="B32" s="121"/>
      <c r="C32" s="121">
        <f>D32</f>
        <v>141.16388453772558</v>
      </c>
      <c r="D32" s="121">
        <f>D25/3759531*100</f>
        <v>141.16388453772558</v>
      </c>
      <c r="E32" s="121"/>
      <c r="F32" s="121">
        <f>G32</f>
        <v>107.53518870946468</v>
      </c>
      <c r="G32" s="121">
        <f>G25/D25*100</f>
        <v>107.53518870946468</v>
      </c>
      <c r="H32" s="121"/>
      <c r="I32" s="121">
        <f>J32</f>
        <v>104.28946907306815</v>
      </c>
      <c r="J32" s="121">
        <f>J25/G25*100</f>
        <v>104.28946907306815</v>
      </c>
      <c r="K32" s="119"/>
    </row>
    <row r="33" spans="1:11" ht="28.5" customHeight="1" x14ac:dyDescent="0.3">
      <c r="A33" s="495" t="s">
        <v>179</v>
      </c>
      <c r="B33" s="496"/>
      <c r="C33" s="496"/>
      <c r="D33" s="496"/>
      <c r="E33" s="496"/>
      <c r="F33" s="496"/>
      <c r="G33" s="496"/>
      <c r="H33" s="496"/>
      <c r="I33" s="496"/>
      <c r="J33" s="496"/>
      <c r="K33" s="497"/>
    </row>
    <row r="34" spans="1:11" ht="28.5" customHeight="1" x14ac:dyDescent="0.3">
      <c r="A34" s="258" t="s">
        <v>160</v>
      </c>
      <c r="B34" s="258"/>
      <c r="C34" s="258"/>
      <c r="D34" s="258"/>
      <c r="E34" s="258"/>
      <c r="F34" s="258"/>
      <c r="G34" s="258"/>
      <c r="H34" s="258"/>
      <c r="I34" s="258"/>
      <c r="J34" s="258"/>
      <c r="K34" s="258"/>
    </row>
    <row r="35" spans="1:11" ht="36" customHeight="1" x14ac:dyDescent="0.3">
      <c r="A35" s="120" t="s">
        <v>161</v>
      </c>
      <c r="B35" s="119">
        <f>C35+F35+I35</f>
        <v>1984800</v>
      </c>
      <c r="C35" s="119">
        <f>D35+E35</f>
        <v>535600</v>
      </c>
      <c r="D35" s="119">
        <f>Дод.3!I18*1000</f>
        <v>535600</v>
      </c>
      <c r="E35" s="119"/>
      <c r="F35" s="119">
        <f>G35+H35</f>
        <v>76200</v>
      </c>
      <c r="G35" s="119">
        <f>Дод.3!J18*1000</f>
        <v>76200</v>
      </c>
      <c r="H35" s="119"/>
      <c r="I35" s="119">
        <f>J35+K35</f>
        <v>1373000</v>
      </c>
      <c r="J35" s="119">
        <f>Дод.3!K18*1000</f>
        <v>1373000</v>
      </c>
      <c r="K35" s="119"/>
    </row>
    <row r="36" spans="1:11" ht="28.5" customHeight="1" x14ac:dyDescent="0.3">
      <c r="A36" s="258" t="s">
        <v>116</v>
      </c>
      <c r="B36" s="119"/>
      <c r="C36" s="121"/>
      <c r="D36" s="119"/>
      <c r="E36" s="119"/>
      <c r="F36" s="121"/>
      <c r="G36" s="121"/>
      <c r="H36" s="121"/>
      <c r="I36" s="121"/>
      <c r="J36" s="119"/>
      <c r="K36" s="119"/>
    </row>
    <row r="37" spans="1:11" ht="51" customHeight="1" x14ac:dyDescent="0.3">
      <c r="A37" s="120" t="s">
        <v>214</v>
      </c>
      <c r="B37" s="119"/>
      <c r="C37" s="121">
        <f>D37</f>
        <v>14883</v>
      </c>
      <c r="D37" s="121">
        <f>6294+8589</f>
        <v>14883</v>
      </c>
      <c r="E37" s="119"/>
      <c r="F37" s="121">
        <f>G37</f>
        <v>1182</v>
      </c>
      <c r="G37" s="121">
        <v>1182</v>
      </c>
      <c r="H37" s="121"/>
      <c r="I37" s="121">
        <v>31041</v>
      </c>
      <c r="J37" s="121">
        <f>6294+8589</f>
        <v>14883</v>
      </c>
      <c r="K37" s="119"/>
    </row>
    <row r="38" spans="1:11" ht="28.5" customHeight="1" x14ac:dyDescent="0.3">
      <c r="A38" s="258" t="s">
        <v>115</v>
      </c>
      <c r="B38" s="119"/>
      <c r="C38" s="121"/>
      <c r="D38" s="121"/>
      <c r="E38" s="121"/>
      <c r="F38" s="121"/>
      <c r="G38" s="121"/>
      <c r="H38" s="121"/>
      <c r="I38" s="121"/>
      <c r="J38" s="121"/>
      <c r="K38" s="119"/>
    </row>
    <row r="39" spans="1:11" ht="28.5" customHeight="1" x14ac:dyDescent="0.3">
      <c r="A39" s="120" t="s">
        <v>174</v>
      </c>
      <c r="B39" s="119"/>
      <c r="C39" s="121">
        <f>D39</f>
        <v>35.987368138144191</v>
      </c>
      <c r="D39" s="121">
        <f>D35/D37</f>
        <v>35.987368138144191</v>
      </c>
      <c r="E39" s="121"/>
      <c r="F39" s="121">
        <f>G39</f>
        <v>64.467005076142129</v>
      </c>
      <c r="G39" s="121">
        <f>G35/G37</f>
        <v>64.467005076142129</v>
      </c>
      <c r="H39" s="121"/>
      <c r="I39" s="121">
        <f>J39</f>
        <v>92.252906000134388</v>
      </c>
      <c r="J39" s="121">
        <f>J35/J37</f>
        <v>92.252906000134388</v>
      </c>
      <c r="K39" s="119"/>
    </row>
    <row r="40" spans="1:11" ht="28.5" customHeight="1" x14ac:dyDescent="0.3">
      <c r="A40" s="258" t="s">
        <v>81</v>
      </c>
      <c r="B40" s="119"/>
      <c r="C40" s="121"/>
      <c r="D40" s="121"/>
      <c r="E40" s="121"/>
      <c r="F40" s="121"/>
      <c r="G40" s="121"/>
      <c r="H40" s="121"/>
      <c r="I40" s="121"/>
      <c r="J40" s="121"/>
      <c r="K40" s="119"/>
    </row>
    <row r="41" spans="1:11" ht="72.75" customHeight="1" x14ac:dyDescent="0.3">
      <c r="A41" s="120" t="s">
        <v>215</v>
      </c>
      <c r="B41" s="121"/>
      <c r="C41" s="121">
        <f>D41</f>
        <v>45.817917406274731</v>
      </c>
      <c r="D41" s="121">
        <f>D35/1168975*100</f>
        <v>45.817917406274731</v>
      </c>
      <c r="E41" s="121"/>
      <c r="F41" s="121">
        <f>G41</f>
        <v>14.227035100821508</v>
      </c>
      <c r="G41" s="121">
        <f>G35/D35*100</f>
        <v>14.227035100821508</v>
      </c>
      <c r="H41" s="121"/>
      <c r="I41" s="121">
        <f>J41</f>
        <v>256.34802091112772</v>
      </c>
      <c r="J41" s="121">
        <f>J35/D35*100</f>
        <v>256.34802091112772</v>
      </c>
      <c r="K41" s="119"/>
    </row>
    <row r="42" spans="1:11" ht="66.75" customHeight="1" x14ac:dyDescent="0.3">
      <c r="A42" s="495" t="s">
        <v>570</v>
      </c>
      <c r="B42" s="496"/>
      <c r="C42" s="496"/>
      <c r="D42" s="496"/>
      <c r="E42" s="496"/>
      <c r="F42" s="496"/>
      <c r="G42" s="496"/>
      <c r="H42" s="496"/>
      <c r="I42" s="496"/>
      <c r="J42" s="496"/>
      <c r="K42" s="497"/>
    </row>
    <row r="43" spans="1:11" ht="28.5" customHeight="1" x14ac:dyDescent="0.3">
      <c r="A43" s="258" t="s">
        <v>77</v>
      </c>
      <c r="B43" s="120"/>
      <c r="C43" s="120"/>
      <c r="D43" s="120"/>
      <c r="E43" s="120"/>
      <c r="F43" s="120"/>
      <c r="G43" s="265"/>
      <c r="H43" s="120"/>
      <c r="I43" s="120"/>
      <c r="J43" s="265"/>
      <c r="K43" s="258"/>
    </row>
    <row r="44" spans="1:11" ht="30.75" customHeight="1" x14ac:dyDescent="0.3">
      <c r="A44" s="120" t="s">
        <v>216</v>
      </c>
      <c r="B44" s="119">
        <f>C44+F44+I44</f>
        <v>2590400</v>
      </c>
      <c r="C44" s="119">
        <f>D44+E44</f>
        <v>960600</v>
      </c>
      <c r="D44" s="119">
        <f>D45+D46+D47</f>
        <v>960600</v>
      </c>
      <c r="E44" s="119"/>
      <c r="F44" s="119">
        <f>G44</f>
        <v>566300</v>
      </c>
      <c r="G44" s="122">
        <f>G45+G46+G47+G48</f>
        <v>566300</v>
      </c>
      <c r="H44" s="119"/>
      <c r="I44" s="119">
        <f>J44</f>
        <v>1063500</v>
      </c>
      <c r="J44" s="122">
        <f>J45+J46+J47</f>
        <v>1063500</v>
      </c>
      <c r="K44" s="258"/>
    </row>
    <row r="45" spans="1:11" ht="74.25" customHeight="1" x14ac:dyDescent="0.3">
      <c r="A45" s="123" t="s">
        <v>373</v>
      </c>
      <c r="B45" s="121"/>
      <c r="C45" s="121">
        <f>D45</f>
        <v>700000</v>
      </c>
      <c r="D45" s="121">
        <f>Дод.3!I21*1000</f>
        <v>700000</v>
      </c>
      <c r="E45" s="121"/>
      <c r="F45" s="121">
        <f>G45</f>
        <v>339700</v>
      </c>
      <c r="G45" s="124">
        <f>Дод.3!J21*1000</f>
        <v>339700</v>
      </c>
      <c r="H45" s="121"/>
      <c r="I45" s="121">
        <f>J45</f>
        <v>774000</v>
      </c>
      <c r="J45" s="124">
        <f>Дод.3!K21*1000</f>
        <v>774000</v>
      </c>
      <c r="K45" s="258"/>
    </row>
    <row r="46" spans="1:11" ht="55.5" customHeight="1" x14ac:dyDescent="0.3">
      <c r="A46" s="125" t="s">
        <v>375</v>
      </c>
      <c r="B46" s="121"/>
      <c r="C46" s="121">
        <f>D46</f>
        <v>218100</v>
      </c>
      <c r="D46" s="121">
        <f>Дод.3!I24*1000</f>
        <v>218100</v>
      </c>
      <c r="E46" s="121"/>
      <c r="F46" s="121">
        <f>G46</f>
        <v>139500</v>
      </c>
      <c r="G46" s="124">
        <f>Дод.3!J24*1000</f>
        <v>139500</v>
      </c>
      <c r="H46" s="121"/>
      <c r="I46" s="121">
        <f>J46</f>
        <v>239300</v>
      </c>
      <c r="J46" s="124">
        <f>Дод.3!K24*1000</f>
        <v>239300</v>
      </c>
      <c r="K46" s="258"/>
    </row>
    <row r="47" spans="1:11" ht="60.75" customHeight="1" x14ac:dyDescent="0.3">
      <c r="A47" s="126" t="s">
        <v>302</v>
      </c>
      <c r="B47" s="121"/>
      <c r="C47" s="121">
        <f>D47</f>
        <v>42500</v>
      </c>
      <c r="D47" s="121">
        <f>Дод.3!I29*1000</f>
        <v>42500</v>
      </c>
      <c r="E47" s="121"/>
      <c r="F47" s="121">
        <f>G47</f>
        <v>23100</v>
      </c>
      <c r="G47" s="124">
        <f>Дод.3!J29*1000</f>
        <v>23100</v>
      </c>
      <c r="H47" s="121"/>
      <c r="I47" s="121">
        <f>J47</f>
        <v>50200</v>
      </c>
      <c r="J47" s="124">
        <f>Дод.3!K29*1000</f>
        <v>50200</v>
      </c>
      <c r="K47" s="258"/>
    </row>
    <row r="48" spans="1:11" ht="45.75" customHeight="1" x14ac:dyDescent="0.3">
      <c r="A48" s="120" t="s">
        <v>569</v>
      </c>
      <c r="B48" s="121"/>
      <c r="C48" s="121"/>
      <c r="D48" s="121"/>
      <c r="E48" s="121"/>
      <c r="F48" s="121">
        <f>G48</f>
        <v>64000</v>
      </c>
      <c r="G48" s="124">
        <f>Дод.3!J32*1000</f>
        <v>64000</v>
      </c>
      <c r="H48" s="121"/>
      <c r="I48" s="121"/>
      <c r="J48" s="124"/>
      <c r="K48" s="258"/>
    </row>
    <row r="49" spans="1:11" ht="28.5" customHeight="1" x14ac:dyDescent="0.3">
      <c r="A49" s="258" t="s">
        <v>116</v>
      </c>
      <c r="B49" s="121"/>
      <c r="C49" s="121"/>
      <c r="D49" s="121"/>
      <c r="E49" s="121"/>
      <c r="F49" s="124"/>
      <c r="G49" s="124"/>
      <c r="H49" s="121"/>
      <c r="I49" s="124"/>
      <c r="J49" s="124"/>
      <c r="K49" s="258"/>
    </row>
    <row r="50" spans="1:11" ht="49.5" customHeight="1" x14ac:dyDescent="0.3">
      <c r="A50" s="123" t="s">
        <v>374</v>
      </c>
      <c r="B50" s="124"/>
      <c r="C50" s="124">
        <v>4</v>
      </c>
      <c r="D50" s="124">
        <v>4</v>
      </c>
      <c r="E50" s="121"/>
      <c r="F50" s="124">
        <f>G50</f>
        <v>2</v>
      </c>
      <c r="G50" s="124">
        <v>2</v>
      </c>
      <c r="H50" s="121"/>
      <c r="I50" s="124">
        <f>J50</f>
        <v>4</v>
      </c>
      <c r="J50" s="124">
        <v>4</v>
      </c>
      <c r="K50" s="258"/>
    </row>
    <row r="51" spans="1:11" ht="59.25" customHeight="1" x14ac:dyDescent="0.3">
      <c r="A51" s="123" t="s">
        <v>162</v>
      </c>
      <c r="B51" s="124"/>
      <c r="C51" s="124">
        <v>26</v>
      </c>
      <c r="D51" s="124">
        <v>26</v>
      </c>
      <c r="E51" s="121"/>
      <c r="F51" s="124">
        <f>G51</f>
        <v>18</v>
      </c>
      <c r="G51" s="124">
        <v>18</v>
      </c>
      <c r="H51" s="121"/>
      <c r="I51" s="124">
        <f>J51</f>
        <v>26</v>
      </c>
      <c r="J51" s="124">
        <v>26</v>
      </c>
      <c r="K51" s="258"/>
    </row>
    <row r="52" spans="1:11" ht="51.75" customHeight="1" x14ac:dyDescent="0.3">
      <c r="A52" s="127" t="s">
        <v>163</v>
      </c>
      <c r="B52" s="124"/>
      <c r="C52" s="124">
        <v>7</v>
      </c>
      <c r="D52" s="124">
        <v>7</v>
      </c>
      <c r="E52" s="121"/>
      <c r="F52" s="124">
        <f>G52</f>
        <v>2</v>
      </c>
      <c r="G52" s="124">
        <v>2</v>
      </c>
      <c r="H52" s="121"/>
      <c r="I52" s="124">
        <f>J52</f>
        <v>7</v>
      </c>
      <c r="J52" s="124">
        <v>7</v>
      </c>
      <c r="K52" s="258"/>
    </row>
    <row r="53" spans="1:11" ht="33" customHeight="1" x14ac:dyDescent="0.3">
      <c r="A53" s="127" t="s">
        <v>567</v>
      </c>
      <c r="B53" s="124"/>
      <c r="C53" s="124"/>
      <c r="D53" s="124"/>
      <c r="E53" s="121"/>
      <c r="F53" s="124">
        <f>G53</f>
        <v>1</v>
      </c>
      <c r="G53" s="124">
        <v>1</v>
      </c>
      <c r="H53" s="121"/>
      <c r="I53" s="124"/>
      <c r="J53" s="124"/>
      <c r="K53" s="258"/>
    </row>
    <row r="54" spans="1:11" ht="28.5" customHeight="1" x14ac:dyDescent="0.3">
      <c r="A54" s="258" t="s">
        <v>115</v>
      </c>
      <c r="B54" s="124"/>
      <c r="C54" s="124"/>
      <c r="D54" s="124"/>
      <c r="E54" s="121"/>
      <c r="F54" s="124"/>
      <c r="G54" s="124"/>
      <c r="H54" s="121"/>
      <c r="I54" s="124"/>
      <c r="J54" s="124"/>
      <c r="K54" s="258"/>
    </row>
    <row r="55" spans="1:11" ht="51" customHeight="1" x14ac:dyDescent="0.3">
      <c r="A55" s="128" t="s">
        <v>217</v>
      </c>
      <c r="B55" s="124"/>
      <c r="C55" s="124">
        <f>D55</f>
        <v>175000</v>
      </c>
      <c r="D55" s="124">
        <f>D45/D50</f>
        <v>175000</v>
      </c>
      <c r="E55" s="121"/>
      <c r="F55" s="124">
        <f>G55</f>
        <v>169850</v>
      </c>
      <c r="G55" s="124">
        <f>G45/G50</f>
        <v>169850</v>
      </c>
      <c r="H55" s="121"/>
      <c r="I55" s="124">
        <f>J55</f>
        <v>193500</v>
      </c>
      <c r="J55" s="124">
        <f>J45/J50</f>
        <v>193500</v>
      </c>
      <c r="K55" s="258"/>
    </row>
    <row r="56" spans="1:11" ht="53.25" customHeight="1" x14ac:dyDescent="0.3">
      <c r="A56" s="128" t="s">
        <v>219</v>
      </c>
      <c r="B56" s="124"/>
      <c r="C56" s="124">
        <f>D56</f>
        <v>8388.461538461539</v>
      </c>
      <c r="D56" s="124">
        <f>D46/D51</f>
        <v>8388.461538461539</v>
      </c>
      <c r="E56" s="121"/>
      <c r="F56" s="124">
        <f>G56</f>
        <v>7750</v>
      </c>
      <c r="G56" s="124">
        <f>G46/G51</f>
        <v>7750</v>
      </c>
      <c r="H56" s="121"/>
      <c r="I56" s="124">
        <f>J56</f>
        <v>9203.8461538461543</v>
      </c>
      <c r="J56" s="124">
        <f>J46/J51</f>
        <v>9203.8461538461543</v>
      </c>
      <c r="K56" s="258"/>
    </row>
    <row r="57" spans="1:11" ht="58.5" customHeight="1" x14ac:dyDescent="0.3">
      <c r="A57" s="128" t="s">
        <v>220</v>
      </c>
      <c r="B57" s="124"/>
      <c r="C57" s="124">
        <f>D57</f>
        <v>6071.4285714285716</v>
      </c>
      <c r="D57" s="124">
        <f>D47/D52</f>
        <v>6071.4285714285716</v>
      </c>
      <c r="E57" s="121"/>
      <c r="F57" s="124">
        <f>G57</f>
        <v>11550</v>
      </c>
      <c r="G57" s="124">
        <f>G47/G52</f>
        <v>11550</v>
      </c>
      <c r="H57" s="121"/>
      <c r="I57" s="124">
        <f>J57</f>
        <v>7171.4285714285716</v>
      </c>
      <c r="J57" s="124">
        <f>J47/J52</f>
        <v>7171.4285714285716</v>
      </c>
      <c r="K57" s="258"/>
    </row>
    <row r="58" spans="1:11" ht="33.75" customHeight="1" x14ac:dyDescent="0.3">
      <c r="A58" s="128" t="s">
        <v>568</v>
      </c>
      <c r="B58" s="124"/>
      <c r="C58" s="124"/>
      <c r="D58" s="124"/>
      <c r="E58" s="121"/>
      <c r="F58" s="124">
        <f>G58</f>
        <v>64000</v>
      </c>
      <c r="G58" s="124">
        <f>G48/G53</f>
        <v>64000</v>
      </c>
      <c r="H58" s="121"/>
      <c r="I58" s="124"/>
      <c r="J58" s="124"/>
      <c r="K58" s="258"/>
    </row>
    <row r="59" spans="1:11" ht="28.5" customHeight="1" x14ac:dyDescent="0.3">
      <c r="A59" s="258" t="s">
        <v>81</v>
      </c>
      <c r="B59" s="124"/>
      <c r="C59" s="124"/>
      <c r="D59" s="124"/>
      <c r="E59" s="121"/>
      <c r="F59" s="124"/>
      <c r="G59" s="124"/>
      <c r="H59" s="121"/>
      <c r="I59" s="124"/>
      <c r="J59" s="124"/>
      <c r="K59" s="258"/>
    </row>
    <row r="60" spans="1:11" ht="142.5" customHeight="1" x14ac:dyDescent="0.3">
      <c r="A60" s="120" t="s">
        <v>218</v>
      </c>
      <c r="B60" s="121"/>
      <c r="C60" s="121">
        <f>D60</f>
        <v>138.41498559077809</v>
      </c>
      <c r="D60" s="121">
        <f>D44/694000*100</f>
        <v>138.41498559077809</v>
      </c>
      <c r="E60" s="121"/>
      <c r="F60" s="121">
        <f>G60</f>
        <v>58.952737872163233</v>
      </c>
      <c r="G60" s="121">
        <f>G44/D44*100</f>
        <v>58.952737872163233</v>
      </c>
      <c r="H60" s="121"/>
      <c r="I60" s="121">
        <f>J60</f>
        <v>187.79798693272116</v>
      </c>
      <c r="J60" s="121">
        <f>J44/G44*100</f>
        <v>187.79798693272116</v>
      </c>
      <c r="K60" s="258"/>
    </row>
    <row r="61" spans="1:11" ht="28.5" customHeight="1" x14ac:dyDescent="0.3">
      <c r="A61" s="495" t="s">
        <v>376</v>
      </c>
      <c r="B61" s="496"/>
      <c r="C61" s="496"/>
      <c r="D61" s="496"/>
      <c r="E61" s="496"/>
      <c r="F61" s="496"/>
      <c r="G61" s="496"/>
      <c r="H61" s="496"/>
      <c r="I61" s="496"/>
      <c r="J61" s="496"/>
      <c r="K61" s="497"/>
    </row>
    <row r="62" spans="1:11" ht="28.5" customHeight="1" x14ac:dyDescent="0.3">
      <c r="A62" s="495" t="s">
        <v>197</v>
      </c>
      <c r="B62" s="496"/>
      <c r="C62" s="496"/>
      <c r="D62" s="496"/>
      <c r="E62" s="496"/>
      <c r="F62" s="496"/>
      <c r="G62" s="496"/>
      <c r="H62" s="496"/>
      <c r="I62" s="496"/>
      <c r="J62" s="496"/>
      <c r="K62" s="497"/>
    </row>
    <row r="63" spans="1:11" ht="28.5" customHeight="1" x14ac:dyDescent="0.3">
      <c r="A63" s="258" t="s">
        <v>77</v>
      </c>
      <c r="B63" s="119"/>
      <c r="C63" s="119"/>
      <c r="D63" s="119"/>
      <c r="E63" s="119"/>
      <c r="F63" s="119"/>
      <c r="G63" s="119"/>
      <c r="H63" s="119"/>
      <c r="I63" s="119"/>
      <c r="J63" s="119"/>
      <c r="K63" s="258"/>
    </row>
    <row r="64" spans="1:11" ht="28.5" customHeight="1" x14ac:dyDescent="0.3">
      <c r="A64" s="120" t="s">
        <v>211</v>
      </c>
      <c r="B64" s="119">
        <f>C64+F64+I64</f>
        <v>136695700</v>
      </c>
      <c r="C64" s="119">
        <f>D64+E64</f>
        <v>42367700</v>
      </c>
      <c r="D64" s="119">
        <f>Дод.3!I43*1000</f>
        <v>42367700</v>
      </c>
      <c r="E64" s="119"/>
      <c r="F64" s="119">
        <f>G64+H64</f>
        <v>46813700.000000007</v>
      </c>
      <c r="G64" s="119">
        <f>Дод.3!J43*1000</f>
        <v>46813700.000000007</v>
      </c>
      <c r="H64" s="119"/>
      <c r="I64" s="119">
        <f>J64+K64</f>
        <v>47514300</v>
      </c>
      <c r="J64" s="119">
        <f>Дод.3!K43*1000</f>
        <v>47514300</v>
      </c>
      <c r="K64" s="258"/>
    </row>
    <row r="65" spans="1:11" ht="28.5" customHeight="1" x14ac:dyDescent="0.3">
      <c r="A65" s="258" t="s">
        <v>116</v>
      </c>
      <c r="B65" s="258"/>
      <c r="C65" s="120"/>
      <c r="D65" s="120"/>
      <c r="E65" s="258"/>
      <c r="F65" s="120"/>
      <c r="G65" s="120"/>
      <c r="H65" s="120"/>
      <c r="I65" s="120"/>
      <c r="J65" s="120"/>
      <c r="K65" s="258"/>
    </row>
    <row r="66" spans="1:11" ht="28.5" customHeight="1" x14ac:dyDescent="0.3">
      <c r="A66" s="120" t="s">
        <v>166</v>
      </c>
      <c r="B66" s="258"/>
      <c r="C66" s="121">
        <v>5</v>
      </c>
      <c r="D66" s="121">
        <v>5</v>
      </c>
      <c r="E66" s="119"/>
      <c r="F66" s="121">
        <v>5</v>
      </c>
      <c r="G66" s="121">
        <v>5</v>
      </c>
      <c r="H66" s="121"/>
      <c r="I66" s="121">
        <v>5</v>
      </c>
      <c r="J66" s="121">
        <v>5</v>
      </c>
      <c r="K66" s="258"/>
    </row>
    <row r="67" spans="1:11" ht="28.5" customHeight="1" x14ac:dyDescent="0.3">
      <c r="A67" s="258" t="s">
        <v>80</v>
      </c>
      <c r="B67" s="120"/>
      <c r="C67" s="121"/>
      <c r="D67" s="121"/>
      <c r="E67" s="121"/>
      <c r="F67" s="121"/>
      <c r="G67" s="121"/>
      <c r="H67" s="121"/>
      <c r="I67" s="121"/>
      <c r="J67" s="121"/>
      <c r="K67" s="258"/>
    </row>
    <row r="68" spans="1:11" ht="28.5" customHeight="1" x14ac:dyDescent="0.3">
      <c r="A68" s="120" t="s">
        <v>221</v>
      </c>
      <c r="B68" s="120"/>
      <c r="C68" s="121">
        <f>C64/C66</f>
        <v>8473540</v>
      </c>
      <c r="D68" s="121">
        <f>D64/D66</f>
        <v>8473540</v>
      </c>
      <c r="E68" s="121"/>
      <c r="F68" s="121">
        <f>F64/F66</f>
        <v>9362740.0000000019</v>
      </c>
      <c r="G68" s="121">
        <f>G64/G66</f>
        <v>9362740.0000000019</v>
      </c>
      <c r="H68" s="121"/>
      <c r="I68" s="121">
        <f>I64/I66</f>
        <v>9502860</v>
      </c>
      <c r="J68" s="121">
        <f>J64/J66</f>
        <v>9502860</v>
      </c>
      <c r="K68" s="258"/>
    </row>
    <row r="69" spans="1:11" ht="28.5" customHeight="1" x14ac:dyDescent="0.3">
      <c r="A69" s="258" t="s">
        <v>81</v>
      </c>
      <c r="B69" s="120"/>
      <c r="C69" s="121"/>
      <c r="D69" s="121"/>
      <c r="E69" s="121"/>
      <c r="F69" s="121"/>
      <c r="G69" s="121"/>
      <c r="H69" s="121"/>
      <c r="I69" s="121"/>
      <c r="J69" s="121"/>
      <c r="K69" s="258"/>
    </row>
    <row r="70" spans="1:11" ht="28.5" customHeight="1" x14ac:dyDescent="0.3">
      <c r="A70" s="120" t="s">
        <v>182</v>
      </c>
      <c r="B70" s="120"/>
      <c r="C70" s="121">
        <v>100</v>
      </c>
      <c r="D70" s="121">
        <v>100</v>
      </c>
      <c r="E70" s="121"/>
      <c r="F70" s="121">
        <v>100</v>
      </c>
      <c r="G70" s="121">
        <v>100</v>
      </c>
      <c r="H70" s="121"/>
      <c r="I70" s="121">
        <v>100</v>
      </c>
      <c r="J70" s="121">
        <v>100</v>
      </c>
      <c r="K70" s="258"/>
    </row>
    <row r="71" spans="1:11" ht="75.75" customHeight="1" x14ac:dyDescent="0.3">
      <c r="A71" s="120" t="s">
        <v>213</v>
      </c>
      <c r="B71" s="120"/>
      <c r="C71" s="121">
        <f>D71</f>
        <v>154.95753889052864</v>
      </c>
      <c r="D71" s="121">
        <f>D64/27341490*100</f>
        <v>154.95753889052864</v>
      </c>
      <c r="E71" s="121"/>
      <c r="F71" s="121">
        <f>G71</f>
        <v>110.49384318714495</v>
      </c>
      <c r="G71" s="121">
        <f>G64/D64*100</f>
        <v>110.49384318714495</v>
      </c>
      <c r="H71" s="121"/>
      <c r="I71" s="121">
        <f>J71</f>
        <v>101.49657044839438</v>
      </c>
      <c r="J71" s="121">
        <f>J64/G64*100</f>
        <v>101.49657044839438</v>
      </c>
      <c r="K71" s="258"/>
    </row>
    <row r="72" spans="1:11" ht="28.5" customHeight="1" x14ac:dyDescent="0.3">
      <c r="A72" s="492" t="s">
        <v>267</v>
      </c>
      <c r="B72" s="493"/>
      <c r="C72" s="493"/>
      <c r="D72" s="493"/>
      <c r="E72" s="493"/>
      <c r="F72" s="493"/>
      <c r="G72" s="493"/>
      <c r="H72" s="493"/>
      <c r="I72" s="493"/>
      <c r="J72" s="493"/>
      <c r="K72" s="494"/>
    </row>
    <row r="73" spans="1:11" ht="28.5" customHeight="1" x14ac:dyDescent="0.3">
      <c r="A73" s="258" t="s">
        <v>77</v>
      </c>
      <c r="B73" s="258"/>
      <c r="C73" s="258"/>
      <c r="D73" s="258"/>
      <c r="E73" s="258"/>
      <c r="F73" s="258"/>
      <c r="G73" s="258"/>
      <c r="H73" s="258"/>
      <c r="I73" s="258"/>
      <c r="J73" s="258"/>
      <c r="K73" s="258"/>
    </row>
    <row r="74" spans="1:11" ht="36" customHeight="1" x14ac:dyDescent="0.3">
      <c r="A74" s="120" t="s">
        <v>211</v>
      </c>
      <c r="B74" s="119">
        <f>C74+F74+I74</f>
        <v>989700</v>
      </c>
      <c r="C74" s="119">
        <f>D74+E74</f>
        <v>318700</v>
      </c>
      <c r="D74" s="119">
        <f>Дод.3!I49*1000</f>
        <v>318700</v>
      </c>
      <c r="E74" s="119"/>
      <c r="F74" s="119">
        <f>G74+H74</f>
        <v>318700</v>
      </c>
      <c r="G74" s="119">
        <f>Дод.3!J49*1000</f>
        <v>318700</v>
      </c>
      <c r="H74" s="119"/>
      <c r="I74" s="119">
        <f>J74+K74</f>
        <v>352300</v>
      </c>
      <c r="J74" s="119">
        <f>Дод.3!K49*1000</f>
        <v>352300</v>
      </c>
      <c r="K74" s="119"/>
    </row>
    <row r="75" spans="1:11" ht="28.5" customHeight="1" x14ac:dyDescent="0.3">
      <c r="A75" s="258" t="s">
        <v>116</v>
      </c>
      <c r="B75" s="119"/>
      <c r="C75" s="121"/>
      <c r="D75" s="119"/>
      <c r="E75" s="119"/>
      <c r="F75" s="121"/>
      <c r="G75" s="121"/>
      <c r="H75" s="121"/>
      <c r="I75" s="121"/>
      <c r="J75" s="119"/>
      <c r="K75" s="119"/>
    </row>
    <row r="76" spans="1:11" ht="48.75" customHeight="1" x14ac:dyDescent="0.3">
      <c r="A76" s="120" t="s">
        <v>273</v>
      </c>
      <c r="B76" s="119"/>
      <c r="C76" s="121">
        <v>170</v>
      </c>
      <c r="D76" s="121">
        <v>170</v>
      </c>
      <c r="E76" s="119"/>
      <c r="F76" s="121">
        <f>G76</f>
        <v>200</v>
      </c>
      <c r="G76" s="121">
        <v>200</v>
      </c>
      <c r="H76" s="121"/>
      <c r="I76" s="121">
        <f>J76</f>
        <v>170</v>
      </c>
      <c r="J76" s="121">
        <v>170</v>
      </c>
      <c r="K76" s="119"/>
    </row>
    <row r="77" spans="1:11" ht="28.5" customHeight="1" x14ac:dyDescent="0.3">
      <c r="A77" s="258" t="s">
        <v>115</v>
      </c>
      <c r="B77" s="121"/>
      <c r="C77" s="121"/>
      <c r="D77" s="121"/>
      <c r="E77" s="121"/>
      <c r="F77" s="121"/>
      <c r="G77" s="121"/>
      <c r="H77" s="121"/>
      <c r="I77" s="121"/>
      <c r="J77" s="121"/>
      <c r="K77" s="119"/>
    </row>
    <row r="78" spans="1:11" ht="32.25" customHeight="1" x14ac:dyDescent="0.3">
      <c r="A78" s="120" t="s">
        <v>222</v>
      </c>
      <c r="B78" s="121"/>
      <c r="C78" s="121">
        <f>C74/C76</f>
        <v>1874.7058823529412</v>
      </c>
      <c r="D78" s="121">
        <f>D74/D76</f>
        <v>1874.7058823529412</v>
      </c>
      <c r="E78" s="121"/>
      <c r="F78" s="121">
        <f>F74/F76</f>
        <v>1593.5</v>
      </c>
      <c r="G78" s="121">
        <f>G74/G76</f>
        <v>1593.5</v>
      </c>
      <c r="H78" s="121"/>
      <c r="I78" s="121">
        <f>I74/I76</f>
        <v>2072.3529411764707</v>
      </c>
      <c r="J78" s="121">
        <f>J74/J76</f>
        <v>2072.3529411764707</v>
      </c>
      <c r="K78" s="119"/>
    </row>
    <row r="79" spans="1:11" ht="28.5" customHeight="1" x14ac:dyDescent="0.3">
      <c r="A79" s="258" t="s">
        <v>81</v>
      </c>
      <c r="B79" s="121"/>
      <c r="C79" s="121"/>
      <c r="D79" s="121"/>
      <c r="E79" s="121"/>
      <c r="F79" s="121"/>
      <c r="G79" s="121"/>
      <c r="H79" s="121"/>
      <c r="I79" s="121"/>
      <c r="J79" s="121"/>
      <c r="K79" s="119"/>
    </row>
    <row r="80" spans="1:11" ht="66" customHeight="1" x14ac:dyDescent="0.3">
      <c r="A80" s="120" t="s">
        <v>183</v>
      </c>
      <c r="B80" s="121"/>
      <c r="C80" s="121">
        <f>D80</f>
        <v>106.23333333333333</v>
      </c>
      <c r="D80" s="121">
        <f>D74/300000*100</f>
        <v>106.23333333333333</v>
      </c>
      <c r="E80" s="121"/>
      <c r="F80" s="121">
        <f>G80</f>
        <v>100</v>
      </c>
      <c r="G80" s="121">
        <f>G74/D74*100</f>
        <v>100</v>
      </c>
      <c r="H80" s="121"/>
      <c r="I80" s="121">
        <f>J80</f>
        <v>110.54283024788202</v>
      </c>
      <c r="J80" s="121">
        <f>J74/G74*100</f>
        <v>110.54283024788202</v>
      </c>
      <c r="K80" s="119"/>
    </row>
    <row r="81" spans="1:11" ht="28.5" customHeight="1" x14ac:dyDescent="0.3">
      <c r="A81" s="495" t="s">
        <v>450</v>
      </c>
      <c r="B81" s="496"/>
      <c r="C81" s="496"/>
      <c r="D81" s="496"/>
      <c r="E81" s="496"/>
      <c r="F81" s="496"/>
      <c r="G81" s="496"/>
      <c r="H81" s="496"/>
      <c r="I81" s="496"/>
      <c r="J81" s="496"/>
      <c r="K81" s="497"/>
    </row>
    <row r="82" spans="1:11" ht="28.5" customHeight="1" x14ac:dyDescent="0.3">
      <c r="A82" s="258" t="s">
        <v>77</v>
      </c>
      <c r="B82" s="258"/>
      <c r="C82" s="258"/>
      <c r="D82" s="258"/>
      <c r="E82" s="258"/>
      <c r="F82" s="258"/>
      <c r="G82" s="258"/>
      <c r="H82" s="258"/>
      <c r="I82" s="258"/>
      <c r="J82" s="258"/>
      <c r="K82" s="258"/>
    </row>
    <row r="83" spans="1:11" ht="28.5" customHeight="1" x14ac:dyDescent="0.3">
      <c r="A83" s="120" t="s">
        <v>211</v>
      </c>
      <c r="B83" s="119">
        <f>C83+F83+I83</f>
        <v>201700</v>
      </c>
      <c r="C83" s="119">
        <f>D83+E83</f>
        <v>201700</v>
      </c>
      <c r="D83" s="119">
        <f>Дод.3!I50*1000</f>
        <v>201700</v>
      </c>
      <c r="E83" s="119"/>
      <c r="F83" s="119"/>
      <c r="G83" s="119"/>
      <c r="H83" s="119"/>
      <c r="I83" s="119"/>
      <c r="J83" s="119"/>
      <c r="K83" s="119"/>
    </row>
    <row r="84" spans="1:11" ht="28.5" customHeight="1" x14ac:dyDescent="0.3">
      <c r="A84" s="258" t="s">
        <v>79</v>
      </c>
      <c r="B84" s="121"/>
      <c r="C84" s="121"/>
      <c r="D84" s="121"/>
      <c r="E84" s="121"/>
      <c r="F84" s="121"/>
      <c r="G84" s="121"/>
      <c r="H84" s="121"/>
      <c r="I84" s="121"/>
      <c r="J84" s="121"/>
      <c r="K84" s="119"/>
    </row>
    <row r="85" spans="1:11" ht="28.5" customHeight="1" x14ac:dyDescent="0.3">
      <c r="A85" s="120" t="s">
        <v>198</v>
      </c>
      <c r="B85" s="121"/>
      <c r="C85" s="121">
        <f>D85</f>
        <v>3</v>
      </c>
      <c r="D85" s="121">
        <v>3</v>
      </c>
      <c r="E85" s="121"/>
      <c r="F85" s="121"/>
      <c r="G85" s="121"/>
      <c r="H85" s="121"/>
      <c r="I85" s="121"/>
      <c r="J85" s="121"/>
      <c r="K85" s="119"/>
    </row>
    <row r="86" spans="1:11" ht="28.5" customHeight="1" x14ac:dyDescent="0.3">
      <c r="A86" s="258" t="s">
        <v>80</v>
      </c>
      <c r="B86" s="121"/>
      <c r="C86" s="121"/>
      <c r="D86" s="121"/>
      <c r="E86" s="121"/>
      <c r="F86" s="121"/>
      <c r="G86" s="121"/>
      <c r="H86" s="121"/>
      <c r="I86" s="121"/>
      <c r="J86" s="121"/>
      <c r="K86" s="119"/>
    </row>
    <row r="87" spans="1:11" ht="28.5" customHeight="1" x14ac:dyDescent="0.3">
      <c r="A87" s="120" t="s">
        <v>223</v>
      </c>
      <c r="B87" s="121"/>
      <c r="C87" s="121">
        <f>C83/C85</f>
        <v>67233.333333333328</v>
      </c>
      <c r="D87" s="121">
        <f>D83/D85</f>
        <v>67233.333333333328</v>
      </c>
      <c r="E87" s="121"/>
      <c r="F87" s="121"/>
      <c r="G87" s="121"/>
      <c r="H87" s="121"/>
      <c r="I87" s="121"/>
      <c r="J87" s="121"/>
      <c r="K87" s="119"/>
    </row>
    <row r="88" spans="1:11" ht="28.5" customHeight="1" x14ac:dyDescent="0.3">
      <c r="A88" s="492" t="s">
        <v>268</v>
      </c>
      <c r="B88" s="493"/>
      <c r="C88" s="493"/>
      <c r="D88" s="493"/>
      <c r="E88" s="493"/>
      <c r="F88" s="493"/>
      <c r="G88" s="493"/>
      <c r="H88" s="493"/>
      <c r="I88" s="493"/>
      <c r="J88" s="493"/>
      <c r="K88" s="494"/>
    </row>
    <row r="89" spans="1:11" ht="28.5" customHeight="1" x14ac:dyDescent="0.3">
      <c r="A89" s="258" t="s">
        <v>77</v>
      </c>
      <c r="B89" s="258"/>
      <c r="C89" s="258"/>
      <c r="D89" s="258"/>
      <c r="E89" s="258"/>
      <c r="F89" s="258"/>
      <c r="G89" s="258"/>
      <c r="H89" s="258"/>
      <c r="I89" s="258"/>
      <c r="J89" s="258"/>
      <c r="K89" s="258"/>
    </row>
    <row r="90" spans="1:11" ht="28.5" customHeight="1" x14ac:dyDescent="0.3">
      <c r="A90" s="120" t="s">
        <v>211</v>
      </c>
      <c r="B90" s="119">
        <f>C90+F90+I90</f>
        <v>6596400</v>
      </c>
      <c r="C90" s="119">
        <f>D90+E90</f>
        <v>2124000</v>
      </c>
      <c r="D90" s="119">
        <f>Дод.3!I51*1000</f>
        <v>2124000</v>
      </c>
      <c r="E90" s="119"/>
      <c r="F90" s="119">
        <f>G90+H90</f>
        <v>2124000</v>
      </c>
      <c r="G90" s="119">
        <f>Дод.3!J51*1000</f>
        <v>2124000</v>
      </c>
      <c r="H90" s="119"/>
      <c r="I90" s="119">
        <f>J90+K90</f>
        <v>2348400</v>
      </c>
      <c r="J90" s="119">
        <f>Дод.3!K51*1000</f>
        <v>2348400</v>
      </c>
      <c r="K90" s="119"/>
    </row>
    <row r="91" spans="1:11" ht="28.5" customHeight="1" x14ac:dyDescent="0.3">
      <c r="A91" s="258" t="s">
        <v>79</v>
      </c>
      <c r="B91" s="121"/>
      <c r="C91" s="121"/>
      <c r="D91" s="121"/>
      <c r="E91" s="121"/>
      <c r="F91" s="121"/>
      <c r="G91" s="121"/>
      <c r="H91" s="121"/>
      <c r="I91" s="121"/>
      <c r="J91" s="121"/>
      <c r="K91" s="119"/>
    </row>
    <row r="92" spans="1:11" ht="89.25" customHeight="1" x14ac:dyDescent="0.3">
      <c r="A92" s="120" t="s">
        <v>274</v>
      </c>
      <c r="B92" s="121"/>
      <c r="C92" s="121">
        <f>D92</f>
        <v>6369</v>
      </c>
      <c r="D92" s="121">
        <v>6369</v>
      </c>
      <c r="E92" s="121"/>
      <c r="F92" s="121">
        <f>G92</f>
        <v>6375</v>
      </c>
      <c r="G92" s="121">
        <v>6375</v>
      </c>
      <c r="H92" s="121"/>
      <c r="I92" s="121">
        <f>J92</f>
        <v>6369</v>
      </c>
      <c r="J92" s="121">
        <v>6369</v>
      </c>
      <c r="K92" s="119"/>
    </row>
    <row r="93" spans="1:11" ht="28.5" customHeight="1" x14ac:dyDescent="0.3">
      <c r="A93" s="258" t="s">
        <v>80</v>
      </c>
      <c r="B93" s="121"/>
      <c r="C93" s="121"/>
      <c r="D93" s="121"/>
      <c r="E93" s="121"/>
      <c r="F93" s="121"/>
      <c r="G93" s="121"/>
      <c r="H93" s="121"/>
      <c r="I93" s="121"/>
      <c r="J93" s="121"/>
      <c r="K93" s="119"/>
    </row>
    <row r="94" spans="1:11" ht="60.75" customHeight="1" x14ac:dyDescent="0.3">
      <c r="A94" s="120" t="s">
        <v>224</v>
      </c>
      <c r="B94" s="121"/>
      <c r="C94" s="121">
        <f>C90/C92</f>
        <v>333.49034385303815</v>
      </c>
      <c r="D94" s="121">
        <f>D90/D92</f>
        <v>333.49034385303815</v>
      </c>
      <c r="E94" s="121"/>
      <c r="F94" s="121">
        <f>F90/F92</f>
        <v>333.1764705882353</v>
      </c>
      <c r="G94" s="121">
        <f>G90/G92</f>
        <v>333.1764705882353</v>
      </c>
      <c r="H94" s="121"/>
      <c r="I94" s="121">
        <f>I90/I92</f>
        <v>368.72350447479982</v>
      </c>
      <c r="J94" s="121">
        <f>J90/J92</f>
        <v>368.72350447479982</v>
      </c>
      <c r="K94" s="119"/>
    </row>
    <row r="95" spans="1:11" ht="28.5" customHeight="1" x14ac:dyDescent="0.3">
      <c r="A95" s="258" t="s">
        <v>81</v>
      </c>
      <c r="B95" s="121"/>
      <c r="C95" s="121"/>
      <c r="D95" s="121"/>
      <c r="E95" s="121"/>
      <c r="F95" s="121"/>
      <c r="G95" s="121"/>
      <c r="H95" s="121"/>
      <c r="I95" s="121"/>
      <c r="J95" s="121"/>
      <c r="K95" s="119"/>
    </row>
    <row r="96" spans="1:11" ht="36" customHeight="1" x14ac:dyDescent="0.3">
      <c r="A96" s="120" t="s">
        <v>164</v>
      </c>
      <c r="B96" s="121"/>
      <c r="C96" s="121">
        <v>100</v>
      </c>
      <c r="D96" s="121">
        <v>100</v>
      </c>
      <c r="E96" s="121"/>
      <c r="F96" s="121">
        <v>100</v>
      </c>
      <c r="G96" s="121">
        <v>100</v>
      </c>
      <c r="H96" s="121"/>
      <c r="I96" s="121">
        <v>100</v>
      </c>
      <c r="J96" s="121">
        <v>100</v>
      </c>
      <c r="K96" s="119"/>
    </row>
    <row r="97" spans="1:11" ht="28.5" customHeight="1" x14ac:dyDescent="0.3">
      <c r="A97" s="492" t="s">
        <v>348</v>
      </c>
      <c r="B97" s="493"/>
      <c r="C97" s="493"/>
      <c r="D97" s="493"/>
      <c r="E97" s="493"/>
      <c r="F97" s="493"/>
      <c r="G97" s="493"/>
      <c r="H97" s="493"/>
      <c r="I97" s="493"/>
      <c r="J97" s="493"/>
      <c r="K97" s="494"/>
    </row>
    <row r="98" spans="1:11" ht="28.5" customHeight="1" x14ac:dyDescent="0.3">
      <c r="A98" s="258" t="s">
        <v>77</v>
      </c>
      <c r="B98" s="258"/>
      <c r="C98" s="258"/>
      <c r="D98" s="258"/>
      <c r="E98" s="258"/>
      <c r="F98" s="258"/>
      <c r="G98" s="258"/>
      <c r="H98" s="258"/>
      <c r="I98" s="258"/>
      <c r="J98" s="258"/>
      <c r="K98" s="258"/>
    </row>
    <row r="99" spans="1:11" ht="28.5" customHeight="1" x14ac:dyDescent="0.3">
      <c r="A99" s="120" t="s">
        <v>211</v>
      </c>
      <c r="B99" s="119">
        <f>C99+F99+I99</f>
        <v>6233500</v>
      </c>
      <c r="C99" s="119">
        <f>D99+E99</f>
        <v>2188900</v>
      </c>
      <c r="D99" s="119">
        <f>Дод.3!I52*1000</f>
        <v>2188900</v>
      </c>
      <c r="E99" s="119"/>
      <c r="F99" s="119">
        <f>G99+H99</f>
        <v>2390500</v>
      </c>
      <c r="G99" s="119">
        <f>Дод.3!J52*1000</f>
        <v>2390500</v>
      </c>
      <c r="H99" s="119"/>
      <c r="I99" s="119">
        <f>J99+K99</f>
        <v>1654100</v>
      </c>
      <c r="J99" s="119">
        <f>Дод.3!K52*1000</f>
        <v>1654100</v>
      </c>
      <c r="K99" s="119"/>
    </row>
    <row r="100" spans="1:11" ht="28.5" customHeight="1" x14ac:dyDescent="0.3">
      <c r="A100" s="125" t="s">
        <v>171</v>
      </c>
      <c r="B100" s="121"/>
      <c r="C100" s="129">
        <f>D100</f>
        <v>8.25</v>
      </c>
      <c r="D100" s="129">
        <v>8.25</v>
      </c>
      <c r="E100" s="121"/>
      <c r="F100" s="129">
        <f>G100</f>
        <v>11.25</v>
      </c>
      <c r="G100" s="129">
        <v>11.25</v>
      </c>
      <c r="H100" s="121"/>
      <c r="I100" s="129">
        <f>J100</f>
        <v>8.25</v>
      </c>
      <c r="J100" s="129">
        <v>8.25</v>
      </c>
      <c r="K100" s="119"/>
    </row>
    <row r="101" spans="1:11" ht="28.5" customHeight="1" x14ac:dyDescent="0.3">
      <c r="A101" s="125" t="s">
        <v>199</v>
      </c>
      <c r="B101" s="121"/>
      <c r="C101" s="129">
        <f t="shared" ref="C101:C110" si="1">D101</f>
        <v>3</v>
      </c>
      <c r="D101" s="129">
        <v>3</v>
      </c>
      <c r="E101" s="121"/>
      <c r="F101" s="129">
        <f t="shared" ref="F101:F110" si="2">G101</f>
        <v>3</v>
      </c>
      <c r="G101" s="129">
        <v>3</v>
      </c>
      <c r="H101" s="121"/>
      <c r="I101" s="129">
        <f t="shared" ref="I101:I110" si="3">J101</f>
        <v>3</v>
      </c>
      <c r="J101" s="129">
        <v>3</v>
      </c>
      <c r="K101" s="119"/>
    </row>
    <row r="102" spans="1:11" ht="28.5" customHeight="1" x14ac:dyDescent="0.3">
      <c r="A102" s="258" t="s">
        <v>79</v>
      </c>
      <c r="B102" s="121"/>
      <c r="C102" s="129"/>
      <c r="D102" s="121"/>
      <c r="E102" s="121"/>
      <c r="F102" s="129"/>
      <c r="G102" s="121"/>
      <c r="H102" s="121"/>
      <c r="I102" s="129"/>
      <c r="J102" s="121"/>
      <c r="K102" s="119"/>
    </row>
    <row r="103" spans="1:11" ht="28.5" customHeight="1" x14ac:dyDescent="0.3">
      <c r="A103" s="127" t="s">
        <v>172</v>
      </c>
      <c r="B103" s="121"/>
      <c r="C103" s="121">
        <f>D103</f>
        <v>3148</v>
      </c>
      <c r="D103" s="121">
        <v>3148</v>
      </c>
      <c r="E103" s="121"/>
      <c r="F103" s="121">
        <f t="shared" si="2"/>
        <v>2099</v>
      </c>
      <c r="G103" s="121">
        <v>2099</v>
      </c>
      <c r="H103" s="121"/>
      <c r="I103" s="121">
        <f t="shared" si="3"/>
        <v>3148</v>
      </c>
      <c r="J103" s="121">
        <v>3148</v>
      </c>
      <c r="K103" s="119"/>
    </row>
    <row r="104" spans="1:11" ht="28.5" customHeight="1" x14ac:dyDescent="0.3">
      <c r="A104" s="127" t="s">
        <v>275</v>
      </c>
      <c r="B104" s="121"/>
      <c r="C104" s="121">
        <f t="shared" si="1"/>
        <v>285</v>
      </c>
      <c r="D104" s="121">
        <v>285</v>
      </c>
      <c r="E104" s="121"/>
      <c r="F104" s="121">
        <f t="shared" si="2"/>
        <v>190</v>
      </c>
      <c r="G104" s="121">
        <v>190</v>
      </c>
      <c r="H104" s="121"/>
      <c r="I104" s="121">
        <f t="shared" si="3"/>
        <v>285</v>
      </c>
      <c r="J104" s="121">
        <v>285</v>
      </c>
      <c r="K104" s="119"/>
    </row>
    <row r="105" spans="1:11" ht="28.5" customHeight="1" x14ac:dyDescent="0.3">
      <c r="A105" s="258" t="s">
        <v>80</v>
      </c>
      <c r="B105" s="121"/>
      <c r="C105" s="129"/>
      <c r="D105" s="121"/>
      <c r="E105" s="121"/>
      <c r="F105" s="129"/>
      <c r="G105" s="121"/>
      <c r="H105" s="121"/>
      <c r="I105" s="129">
        <f t="shared" si="3"/>
        <v>0</v>
      </c>
      <c r="J105" s="121"/>
      <c r="K105" s="119"/>
    </row>
    <row r="106" spans="1:11" ht="57" customHeight="1" x14ac:dyDescent="0.3">
      <c r="A106" s="125" t="s">
        <v>184</v>
      </c>
      <c r="B106" s="121"/>
      <c r="C106" s="121">
        <f t="shared" si="1"/>
        <v>1049</v>
      </c>
      <c r="D106" s="121">
        <v>1049</v>
      </c>
      <c r="E106" s="121"/>
      <c r="F106" s="121">
        <f t="shared" si="2"/>
        <v>700</v>
      </c>
      <c r="G106" s="121">
        <v>700</v>
      </c>
      <c r="H106" s="121"/>
      <c r="I106" s="121">
        <f t="shared" si="3"/>
        <v>1049</v>
      </c>
      <c r="J106" s="121">
        <v>1049</v>
      </c>
      <c r="K106" s="119"/>
    </row>
    <row r="107" spans="1:11" ht="53.25" customHeight="1" x14ac:dyDescent="0.3">
      <c r="A107" s="125" t="s">
        <v>276</v>
      </c>
      <c r="B107" s="121"/>
      <c r="C107" s="121">
        <f t="shared" si="1"/>
        <v>35</v>
      </c>
      <c r="D107" s="121">
        <v>35</v>
      </c>
      <c r="E107" s="121"/>
      <c r="F107" s="121">
        <f t="shared" si="2"/>
        <v>63</v>
      </c>
      <c r="G107" s="121">
        <v>63</v>
      </c>
      <c r="H107" s="121"/>
      <c r="I107" s="121">
        <f t="shared" si="3"/>
        <v>35</v>
      </c>
      <c r="J107" s="121">
        <v>35</v>
      </c>
      <c r="K107" s="119"/>
    </row>
    <row r="108" spans="1:11" ht="28.5" customHeight="1" x14ac:dyDescent="0.3">
      <c r="A108" s="258" t="s">
        <v>81</v>
      </c>
      <c r="B108" s="121"/>
      <c r="C108" s="129"/>
      <c r="D108" s="121"/>
      <c r="E108" s="121"/>
      <c r="F108" s="129"/>
      <c r="G108" s="121"/>
      <c r="H108" s="121"/>
      <c r="I108" s="129"/>
      <c r="J108" s="121"/>
      <c r="K108" s="119"/>
    </row>
    <row r="109" spans="1:11" ht="21" hidden="1" customHeight="1" x14ac:dyDescent="0.3">
      <c r="A109" s="125" t="s">
        <v>225</v>
      </c>
      <c r="B109" s="121"/>
      <c r="C109" s="22"/>
      <c r="D109" s="22"/>
      <c r="E109" s="121"/>
      <c r="F109" s="22"/>
      <c r="G109" s="22"/>
      <c r="H109" s="121"/>
      <c r="I109" s="22"/>
      <c r="J109" s="22"/>
      <c r="K109" s="119"/>
    </row>
    <row r="110" spans="1:11" ht="47.25" customHeight="1" x14ac:dyDescent="0.3">
      <c r="A110" s="125" t="s">
        <v>226</v>
      </c>
      <c r="B110" s="121"/>
      <c r="C110" s="121">
        <f t="shared" si="1"/>
        <v>10</v>
      </c>
      <c r="D110" s="121">
        <v>10</v>
      </c>
      <c r="E110" s="121"/>
      <c r="F110" s="121">
        <f t="shared" si="2"/>
        <v>10</v>
      </c>
      <c r="G110" s="121">
        <v>10</v>
      </c>
      <c r="H110" s="121"/>
      <c r="I110" s="121">
        <f t="shared" si="3"/>
        <v>12</v>
      </c>
      <c r="J110" s="121">
        <v>12</v>
      </c>
      <c r="K110" s="119"/>
    </row>
    <row r="111" spans="1:11" ht="47.25" customHeight="1" x14ac:dyDescent="0.3">
      <c r="A111" s="492" t="s">
        <v>539</v>
      </c>
      <c r="B111" s="493"/>
      <c r="C111" s="493"/>
      <c r="D111" s="493"/>
      <c r="E111" s="493"/>
      <c r="F111" s="493"/>
      <c r="G111" s="493"/>
      <c r="H111" s="493"/>
      <c r="I111" s="493"/>
      <c r="J111" s="493"/>
      <c r="K111" s="494"/>
    </row>
    <row r="112" spans="1:11" ht="47.25" customHeight="1" x14ac:dyDescent="0.3">
      <c r="A112" s="258" t="s">
        <v>77</v>
      </c>
      <c r="B112" s="121"/>
      <c r="C112" s="121"/>
      <c r="D112" s="121"/>
      <c r="E112" s="121"/>
      <c r="F112" s="121"/>
      <c r="G112" s="121"/>
      <c r="H112" s="121"/>
      <c r="I112" s="121"/>
      <c r="J112" s="121"/>
      <c r="K112" s="119"/>
    </row>
    <row r="113" spans="1:11" ht="47.25" customHeight="1" x14ac:dyDescent="0.3">
      <c r="A113" s="120" t="s">
        <v>211</v>
      </c>
      <c r="B113" s="119">
        <f>C113</f>
        <v>4107600.0000000005</v>
      </c>
      <c r="C113" s="121">
        <f>D113</f>
        <v>4107600.0000000005</v>
      </c>
      <c r="D113" s="121">
        <f>D115</f>
        <v>4107600.0000000005</v>
      </c>
      <c r="E113" s="121"/>
      <c r="F113" s="121"/>
      <c r="G113" s="121"/>
      <c r="H113" s="121"/>
      <c r="I113" s="121"/>
      <c r="J113" s="121"/>
      <c r="K113" s="119"/>
    </row>
    <row r="114" spans="1:11" ht="47.25" customHeight="1" x14ac:dyDescent="0.3">
      <c r="A114" s="120" t="s">
        <v>346</v>
      </c>
      <c r="B114" s="121"/>
      <c r="C114" s="121"/>
      <c r="D114" s="121"/>
      <c r="E114" s="121"/>
      <c r="F114" s="121"/>
      <c r="G114" s="121"/>
      <c r="H114" s="121"/>
      <c r="I114" s="121"/>
      <c r="J114" s="121"/>
      <c r="K114" s="119"/>
    </row>
    <row r="115" spans="1:11" ht="47.25" customHeight="1" x14ac:dyDescent="0.3">
      <c r="A115" s="120" t="s">
        <v>345</v>
      </c>
      <c r="B115" s="121"/>
      <c r="C115" s="121">
        <f>D115</f>
        <v>4107600.0000000005</v>
      </c>
      <c r="D115" s="121">
        <f>Дод.3!I53*1000</f>
        <v>4107600.0000000005</v>
      </c>
      <c r="E115" s="121"/>
      <c r="F115" s="121"/>
      <c r="G115" s="121"/>
      <c r="H115" s="121"/>
      <c r="I115" s="121"/>
      <c r="J115" s="121"/>
      <c r="K115" s="119"/>
    </row>
    <row r="116" spans="1:11" ht="47.25" customHeight="1" x14ac:dyDescent="0.3">
      <c r="A116" s="120" t="s">
        <v>344</v>
      </c>
      <c r="B116" s="121"/>
      <c r="C116" s="121"/>
      <c r="D116" s="121"/>
      <c r="E116" s="121"/>
      <c r="F116" s="121"/>
      <c r="G116" s="121"/>
      <c r="H116" s="121"/>
      <c r="I116" s="121"/>
      <c r="J116" s="121"/>
      <c r="K116" s="119"/>
    </row>
    <row r="117" spans="1:11" ht="47.25" customHeight="1" x14ac:dyDescent="0.3">
      <c r="A117" s="258" t="s">
        <v>79</v>
      </c>
      <c r="B117" s="121"/>
      <c r="C117" s="121"/>
      <c r="D117" s="121"/>
      <c r="E117" s="121"/>
      <c r="F117" s="121"/>
      <c r="G117" s="121"/>
      <c r="H117" s="121"/>
      <c r="I117" s="121"/>
      <c r="J117" s="121"/>
      <c r="K117" s="119"/>
    </row>
    <row r="118" spans="1:11" ht="47.25" customHeight="1" x14ac:dyDescent="0.3">
      <c r="A118" s="127" t="s">
        <v>277</v>
      </c>
      <c r="B118" s="121"/>
      <c r="C118" s="121">
        <f>D118</f>
        <v>750</v>
      </c>
      <c r="D118" s="121">
        <v>750</v>
      </c>
      <c r="E118" s="121"/>
      <c r="F118" s="121"/>
      <c r="G118" s="121"/>
      <c r="H118" s="121"/>
      <c r="I118" s="121"/>
      <c r="J118" s="121"/>
      <c r="K118" s="119"/>
    </row>
    <row r="119" spans="1:11" ht="47.25" customHeight="1" x14ac:dyDescent="0.3">
      <c r="A119" s="127" t="s">
        <v>229</v>
      </c>
      <c r="B119" s="121"/>
      <c r="C119" s="22">
        <f>D119</f>
        <v>16.5</v>
      </c>
      <c r="D119" s="22">
        <v>16.5</v>
      </c>
      <c r="E119" s="121"/>
      <c r="F119" s="121"/>
      <c r="G119" s="121"/>
      <c r="H119" s="121"/>
      <c r="I119" s="121"/>
      <c r="J119" s="121"/>
      <c r="K119" s="119"/>
    </row>
    <row r="120" spans="1:11" ht="47.25" customHeight="1" x14ac:dyDescent="0.3">
      <c r="A120" s="127" t="s">
        <v>341</v>
      </c>
      <c r="B120" s="121"/>
      <c r="C120" s="121"/>
      <c r="D120" s="121"/>
      <c r="E120" s="121"/>
      <c r="F120" s="121"/>
      <c r="G120" s="121"/>
      <c r="H120" s="121"/>
      <c r="I120" s="121"/>
      <c r="J120" s="121"/>
      <c r="K120" s="119"/>
    </row>
    <row r="121" spans="1:11" ht="47.25" customHeight="1" x14ac:dyDescent="0.3">
      <c r="A121" s="258" t="s">
        <v>80</v>
      </c>
      <c r="B121" s="121"/>
      <c r="C121" s="121"/>
      <c r="D121" s="121"/>
      <c r="E121" s="121"/>
      <c r="F121" s="121"/>
      <c r="G121" s="121"/>
      <c r="H121" s="121"/>
      <c r="I121" s="121"/>
      <c r="J121" s="121"/>
      <c r="K121" s="119"/>
    </row>
    <row r="122" spans="1:11" ht="47.25" customHeight="1" x14ac:dyDescent="0.3">
      <c r="A122" s="120" t="s">
        <v>227</v>
      </c>
      <c r="B122" s="121"/>
      <c r="C122" s="121">
        <f>D122</f>
        <v>5476.8</v>
      </c>
      <c r="D122" s="121">
        <f>D115/D118</f>
        <v>5476.8</v>
      </c>
      <c r="E122" s="121"/>
      <c r="F122" s="121"/>
      <c r="G122" s="121"/>
      <c r="H122" s="121"/>
      <c r="I122" s="121"/>
      <c r="J122" s="121"/>
      <c r="K122" s="119"/>
    </row>
    <row r="123" spans="1:11" ht="47.25" customHeight="1" x14ac:dyDescent="0.3">
      <c r="A123" s="120" t="s">
        <v>278</v>
      </c>
      <c r="B123" s="121"/>
      <c r="C123" s="121">
        <f>D123</f>
        <v>248945.45454545459</v>
      </c>
      <c r="D123" s="121">
        <f>D115/D119</f>
        <v>248945.45454545459</v>
      </c>
      <c r="E123" s="121"/>
      <c r="F123" s="121"/>
      <c r="G123" s="121"/>
      <c r="H123" s="121"/>
      <c r="I123" s="121"/>
      <c r="J123" s="121"/>
      <c r="K123" s="119"/>
    </row>
    <row r="124" spans="1:11" ht="47.25" customHeight="1" x14ac:dyDescent="0.3">
      <c r="A124" s="120" t="s">
        <v>222</v>
      </c>
      <c r="B124" s="121"/>
      <c r="C124" s="121"/>
      <c r="D124" s="121"/>
      <c r="E124" s="121"/>
      <c r="F124" s="121"/>
      <c r="G124" s="121"/>
      <c r="H124" s="121"/>
      <c r="I124" s="121"/>
      <c r="J124" s="121"/>
      <c r="K124" s="119"/>
    </row>
    <row r="125" spans="1:11" ht="47.25" customHeight="1" x14ac:dyDescent="0.3">
      <c r="A125" s="258" t="s">
        <v>81</v>
      </c>
      <c r="B125" s="121"/>
      <c r="C125" s="121"/>
      <c r="D125" s="121"/>
      <c r="E125" s="121"/>
      <c r="F125" s="121"/>
      <c r="G125" s="121"/>
      <c r="H125" s="121"/>
      <c r="I125" s="121"/>
      <c r="J125" s="121"/>
      <c r="K125" s="119"/>
    </row>
    <row r="126" spans="1:11" ht="47.25" customHeight="1" x14ac:dyDescent="0.3">
      <c r="A126" s="120" t="s">
        <v>228</v>
      </c>
      <c r="B126" s="121"/>
      <c r="C126" s="121">
        <f>D126</f>
        <v>100</v>
      </c>
      <c r="D126" s="121">
        <v>100</v>
      </c>
      <c r="E126" s="121"/>
      <c r="F126" s="121"/>
      <c r="G126" s="121"/>
      <c r="H126" s="121"/>
      <c r="I126" s="121"/>
      <c r="J126" s="121"/>
      <c r="K126" s="119"/>
    </row>
    <row r="127" spans="1:11" ht="36" customHeight="1" x14ac:dyDescent="0.3">
      <c r="A127" s="513" t="s">
        <v>538</v>
      </c>
      <c r="B127" s="513"/>
      <c r="C127" s="513"/>
      <c r="D127" s="513"/>
      <c r="E127" s="513"/>
      <c r="F127" s="513"/>
      <c r="G127" s="513"/>
      <c r="H127" s="513"/>
      <c r="I127" s="513"/>
      <c r="J127" s="513"/>
      <c r="K127" s="513"/>
    </row>
    <row r="128" spans="1:11" ht="28.5" customHeight="1" x14ac:dyDescent="0.3">
      <c r="A128" s="258" t="s">
        <v>77</v>
      </c>
      <c r="B128" s="258"/>
      <c r="C128" s="258"/>
      <c r="D128" s="258"/>
      <c r="E128" s="258"/>
      <c r="F128" s="258"/>
      <c r="G128" s="258"/>
      <c r="H128" s="258"/>
      <c r="I128" s="258"/>
      <c r="J128" s="258"/>
      <c r="K128" s="258"/>
    </row>
    <row r="129" spans="1:11" ht="28.5" customHeight="1" x14ac:dyDescent="0.3">
      <c r="A129" s="120" t="s">
        <v>211</v>
      </c>
      <c r="B129" s="119">
        <f>C129+F129+I129</f>
        <v>4405200</v>
      </c>
      <c r="C129" s="119"/>
      <c r="D129" s="119"/>
      <c r="E129" s="119"/>
      <c r="F129" s="119">
        <f>G129+H129</f>
        <v>4305200</v>
      </c>
      <c r="G129" s="119">
        <f>Дод.3!J59*1000</f>
        <v>4305200</v>
      </c>
      <c r="H129" s="119"/>
      <c r="I129" s="119">
        <f>J129+K129</f>
        <v>100000</v>
      </c>
      <c r="J129" s="119">
        <f>Дод.3!K59*1000</f>
        <v>100000</v>
      </c>
      <c r="K129" s="119"/>
    </row>
    <row r="130" spans="1:11" ht="28.5" customHeight="1" x14ac:dyDescent="0.3">
      <c r="A130" s="120" t="s">
        <v>346</v>
      </c>
      <c r="B130" s="119"/>
      <c r="C130" s="119"/>
      <c r="D130" s="119"/>
      <c r="E130" s="119"/>
      <c r="F130" s="119"/>
      <c r="G130" s="119"/>
      <c r="H130" s="119"/>
      <c r="I130" s="119"/>
      <c r="J130" s="119"/>
      <c r="K130" s="119"/>
    </row>
    <row r="131" spans="1:11" ht="28.5" customHeight="1" x14ac:dyDescent="0.3">
      <c r="A131" s="120" t="s">
        <v>345</v>
      </c>
      <c r="B131" s="119"/>
      <c r="C131" s="121"/>
      <c r="D131" s="121"/>
      <c r="E131" s="121"/>
      <c r="F131" s="121">
        <f>G131+H131</f>
        <v>4305200</v>
      </c>
      <c r="G131" s="121">
        <f>(Дод.3!J61+Дод.3!J62+Дод.3!J63+Дод.3!J64)*1000</f>
        <v>4305200</v>
      </c>
      <c r="H131" s="119"/>
      <c r="I131" s="119"/>
      <c r="J131" s="119"/>
      <c r="K131" s="119"/>
    </row>
    <row r="132" spans="1:11" ht="72" hidden="1" customHeight="1" x14ac:dyDescent="0.3">
      <c r="A132" s="120" t="s">
        <v>344</v>
      </c>
      <c r="B132" s="119"/>
      <c r="C132" s="121"/>
      <c r="D132" s="121"/>
      <c r="E132" s="121"/>
      <c r="F132" s="121">
        <f>G132+H132</f>
        <v>0</v>
      </c>
      <c r="G132" s="121">
        <f>Дод.3!J65*1000</f>
        <v>0</v>
      </c>
      <c r="H132" s="119"/>
      <c r="I132" s="119"/>
      <c r="J132" s="119"/>
      <c r="K132" s="119"/>
    </row>
    <row r="133" spans="1:11" ht="28.5" customHeight="1" x14ac:dyDescent="0.3">
      <c r="A133" s="258" t="s">
        <v>79</v>
      </c>
      <c r="B133" s="121"/>
      <c r="C133" s="121"/>
      <c r="D133" s="124"/>
      <c r="E133" s="121"/>
      <c r="F133" s="121"/>
      <c r="G133" s="121"/>
      <c r="H133" s="121"/>
      <c r="I133" s="121"/>
      <c r="J133" s="121"/>
      <c r="K133" s="119"/>
    </row>
    <row r="134" spans="1:11" ht="32.25" customHeight="1" x14ac:dyDescent="0.3">
      <c r="A134" s="127" t="s">
        <v>277</v>
      </c>
      <c r="B134" s="121"/>
      <c r="C134" s="121"/>
      <c r="D134" s="121"/>
      <c r="E134" s="121"/>
      <c r="F134" s="121">
        <f>G134</f>
        <v>950</v>
      </c>
      <c r="G134" s="121">
        <f>770+180</f>
        <v>950</v>
      </c>
      <c r="H134" s="121"/>
      <c r="I134" s="121">
        <f>J134</f>
        <v>750</v>
      </c>
      <c r="J134" s="121">
        <v>750</v>
      </c>
      <c r="K134" s="119"/>
    </row>
    <row r="135" spans="1:11" ht="57" customHeight="1" x14ac:dyDescent="0.3">
      <c r="A135" s="127" t="s">
        <v>229</v>
      </c>
      <c r="B135" s="121"/>
      <c r="C135" s="22"/>
      <c r="D135" s="22"/>
      <c r="E135" s="22"/>
      <c r="F135" s="22">
        <f>G135</f>
        <v>16.5</v>
      </c>
      <c r="G135" s="22">
        <v>16.5</v>
      </c>
      <c r="H135" s="22"/>
      <c r="I135" s="22">
        <f>J135</f>
        <v>16.5</v>
      </c>
      <c r="J135" s="22">
        <v>16.5</v>
      </c>
      <c r="K135" s="119"/>
    </row>
    <row r="136" spans="1:11" ht="57" hidden="1" customHeight="1" x14ac:dyDescent="0.3">
      <c r="A136" s="127" t="s">
        <v>341</v>
      </c>
      <c r="B136" s="121"/>
      <c r="C136" s="22"/>
      <c r="D136" s="22"/>
      <c r="E136" s="22"/>
      <c r="F136" s="22"/>
      <c r="G136" s="22"/>
      <c r="H136" s="22"/>
      <c r="I136" s="22"/>
      <c r="J136" s="22"/>
      <c r="K136" s="119"/>
    </row>
    <row r="137" spans="1:11" ht="28.5" customHeight="1" x14ac:dyDescent="0.3">
      <c r="A137" s="258" t="s">
        <v>80</v>
      </c>
      <c r="B137" s="121"/>
      <c r="C137" s="121"/>
      <c r="D137" s="121"/>
      <c r="E137" s="121"/>
      <c r="F137" s="121"/>
      <c r="G137" s="121"/>
      <c r="H137" s="121"/>
      <c r="I137" s="121"/>
      <c r="J137" s="121"/>
      <c r="K137" s="119"/>
    </row>
    <row r="138" spans="1:11" ht="28.5" customHeight="1" x14ac:dyDescent="0.3">
      <c r="A138" s="120" t="s">
        <v>227</v>
      </c>
      <c r="B138" s="121"/>
      <c r="C138" s="121"/>
      <c r="D138" s="121"/>
      <c r="E138" s="121"/>
      <c r="F138" s="121">
        <f>G138</f>
        <v>4531.7894736842109</v>
      </c>
      <c r="G138" s="121">
        <f>G129/G134</f>
        <v>4531.7894736842109</v>
      </c>
      <c r="H138" s="121"/>
      <c r="I138" s="121">
        <f>J138</f>
        <v>133.33333333333334</v>
      </c>
      <c r="J138" s="121">
        <f>J129/J134</f>
        <v>133.33333333333334</v>
      </c>
      <c r="K138" s="119"/>
    </row>
    <row r="139" spans="1:11" ht="28.5" customHeight="1" x14ac:dyDescent="0.3">
      <c r="A139" s="120" t="s">
        <v>278</v>
      </c>
      <c r="B139" s="121"/>
      <c r="C139" s="121"/>
      <c r="D139" s="121"/>
      <c r="E139" s="121"/>
      <c r="F139" s="121">
        <f>G139</f>
        <v>260921.21212121213</v>
      </c>
      <c r="G139" s="121">
        <f>G129/G135</f>
        <v>260921.21212121213</v>
      </c>
      <c r="H139" s="121"/>
      <c r="I139" s="121">
        <f>J139</f>
        <v>6060.606060606061</v>
      </c>
      <c r="J139" s="121">
        <f>J129/J135</f>
        <v>6060.606060606061</v>
      </c>
      <c r="K139" s="119"/>
    </row>
    <row r="140" spans="1:11" ht="28.5" hidden="1" customHeight="1" x14ac:dyDescent="0.3">
      <c r="A140" s="120" t="s">
        <v>222</v>
      </c>
      <c r="B140" s="121"/>
      <c r="C140" s="121"/>
      <c r="D140" s="121"/>
      <c r="E140" s="121"/>
      <c r="F140" s="121" t="e">
        <f>G140</f>
        <v>#DIV/0!</v>
      </c>
      <c r="G140" s="121" t="e">
        <f>G132/G136</f>
        <v>#DIV/0!</v>
      </c>
      <c r="H140" s="121"/>
      <c r="I140" s="121"/>
      <c r="J140" s="121"/>
      <c r="K140" s="119"/>
    </row>
    <row r="141" spans="1:11" ht="28.5" customHeight="1" x14ac:dyDescent="0.3">
      <c r="A141" s="258" t="s">
        <v>81</v>
      </c>
      <c r="B141" s="121"/>
      <c r="C141" s="121"/>
      <c r="D141" s="121"/>
      <c r="E141" s="121"/>
      <c r="F141" s="121"/>
      <c r="G141" s="121"/>
      <c r="H141" s="121"/>
      <c r="I141" s="121"/>
      <c r="J141" s="121"/>
      <c r="K141" s="119"/>
    </row>
    <row r="142" spans="1:11" ht="28.5" customHeight="1" x14ac:dyDescent="0.3">
      <c r="A142" s="120" t="s">
        <v>228</v>
      </c>
      <c r="B142" s="121"/>
      <c r="C142" s="121"/>
      <c r="D142" s="121"/>
      <c r="E142" s="121"/>
      <c r="F142" s="121">
        <f>G142</f>
        <v>100</v>
      </c>
      <c r="G142" s="121">
        <v>100</v>
      </c>
      <c r="H142" s="121"/>
      <c r="I142" s="121">
        <f>J142</f>
        <v>100</v>
      </c>
      <c r="J142" s="121">
        <v>100</v>
      </c>
      <c r="K142" s="119"/>
    </row>
    <row r="143" spans="1:11" ht="28.5" customHeight="1" x14ac:dyDescent="0.3">
      <c r="A143" s="495" t="s">
        <v>445</v>
      </c>
      <c r="B143" s="496"/>
      <c r="C143" s="496"/>
      <c r="D143" s="496"/>
      <c r="E143" s="496"/>
      <c r="F143" s="496"/>
      <c r="G143" s="496"/>
      <c r="H143" s="496"/>
      <c r="I143" s="496"/>
      <c r="J143" s="496"/>
      <c r="K143" s="497"/>
    </row>
    <row r="144" spans="1:11" ht="28.5" customHeight="1" x14ac:dyDescent="0.3">
      <c r="A144" s="258" t="s">
        <v>77</v>
      </c>
      <c r="B144" s="258"/>
      <c r="C144" s="258"/>
      <c r="D144" s="258"/>
      <c r="E144" s="258"/>
      <c r="F144" s="258"/>
      <c r="G144" s="258"/>
      <c r="H144" s="258"/>
      <c r="I144" s="258"/>
      <c r="J144" s="258"/>
      <c r="K144" s="258"/>
    </row>
    <row r="145" spans="1:11" ht="28.5" customHeight="1" x14ac:dyDescent="0.3">
      <c r="A145" s="120" t="s">
        <v>161</v>
      </c>
      <c r="B145" s="119">
        <f>C145+F145+I145</f>
        <v>3500000</v>
      </c>
      <c r="C145" s="119">
        <f>D145+E145</f>
        <v>1200000</v>
      </c>
      <c r="D145" s="119">
        <f>Дод.3!I66*1000</f>
        <v>1200000</v>
      </c>
      <c r="E145" s="119"/>
      <c r="F145" s="119">
        <f>G145+H145</f>
        <v>2300000</v>
      </c>
      <c r="G145" s="119">
        <f>Дод.3!J66*1000</f>
        <v>2300000</v>
      </c>
      <c r="H145" s="119"/>
      <c r="I145" s="119"/>
      <c r="J145" s="119"/>
      <c r="K145" s="119"/>
    </row>
    <row r="146" spans="1:11" ht="28.5" customHeight="1" x14ac:dyDescent="0.3">
      <c r="A146" s="120" t="s">
        <v>477</v>
      </c>
      <c r="B146" s="119"/>
      <c r="C146" s="119"/>
      <c r="D146" s="119"/>
      <c r="E146" s="119"/>
      <c r="F146" s="119"/>
      <c r="G146" s="119"/>
      <c r="H146" s="119"/>
      <c r="I146" s="119"/>
      <c r="J146" s="119"/>
      <c r="K146" s="119"/>
    </row>
    <row r="147" spans="1:11" ht="51.75" customHeight="1" x14ac:dyDescent="0.3">
      <c r="A147" s="120" t="s">
        <v>279</v>
      </c>
      <c r="B147" s="121"/>
      <c r="C147" s="121">
        <f>D147</f>
        <v>1000000</v>
      </c>
      <c r="D147" s="121">
        <f>Дод.3!I67*1000</f>
        <v>1000000</v>
      </c>
      <c r="E147" s="121"/>
      <c r="F147" s="121">
        <f>G147+H147</f>
        <v>2100000</v>
      </c>
      <c r="G147" s="121">
        <f>(Дод.3!J69+Дод.3!J70)*1000</f>
        <v>2100000</v>
      </c>
      <c r="H147" s="121"/>
      <c r="I147" s="121"/>
      <c r="J147" s="121"/>
      <c r="K147" s="119"/>
    </row>
    <row r="148" spans="1:11" ht="33.75" customHeight="1" x14ac:dyDescent="0.3">
      <c r="A148" s="120" t="s">
        <v>280</v>
      </c>
      <c r="B148" s="121"/>
      <c r="C148" s="121">
        <f>D148</f>
        <v>200000</v>
      </c>
      <c r="D148" s="121">
        <f>Дод.3!I71*1000</f>
        <v>200000</v>
      </c>
      <c r="E148" s="121"/>
      <c r="F148" s="121">
        <f>G148</f>
        <v>200000</v>
      </c>
      <c r="G148" s="121">
        <f>Дод.3!J71*1000</f>
        <v>200000</v>
      </c>
      <c r="H148" s="121"/>
      <c r="I148" s="121"/>
      <c r="J148" s="121"/>
      <c r="K148" s="119"/>
    </row>
    <row r="149" spans="1:11" ht="28.5" customHeight="1" x14ac:dyDescent="0.3">
      <c r="A149" s="258" t="s">
        <v>79</v>
      </c>
      <c r="B149" s="121"/>
      <c r="C149" s="121"/>
      <c r="D149" s="121"/>
      <c r="E149" s="121"/>
      <c r="F149" s="121"/>
      <c r="G149" s="121"/>
      <c r="H149" s="121"/>
      <c r="I149" s="121"/>
      <c r="J149" s="121"/>
      <c r="K149" s="119"/>
    </row>
    <row r="150" spans="1:11" ht="60.75" customHeight="1" x14ac:dyDescent="0.3">
      <c r="A150" s="267" t="s">
        <v>281</v>
      </c>
      <c r="B150" s="121"/>
      <c r="C150" s="121">
        <f>D150</f>
        <v>20</v>
      </c>
      <c r="D150" s="121">
        <v>20</v>
      </c>
      <c r="E150" s="121"/>
      <c r="F150" s="121">
        <f>G150</f>
        <v>40</v>
      </c>
      <c r="G150" s="121">
        <f>20+20</f>
        <v>40</v>
      </c>
      <c r="H150" s="121"/>
      <c r="I150" s="121"/>
      <c r="J150" s="121"/>
      <c r="K150" s="119"/>
    </row>
    <row r="151" spans="1:11" ht="45.75" customHeight="1" x14ac:dyDescent="0.3">
      <c r="A151" s="267" t="s">
        <v>282</v>
      </c>
      <c r="B151" s="121"/>
      <c r="C151" s="121">
        <f>D151</f>
        <v>10</v>
      </c>
      <c r="D151" s="121">
        <v>10</v>
      </c>
      <c r="E151" s="121"/>
      <c r="F151" s="121">
        <f>G151</f>
        <v>20</v>
      </c>
      <c r="G151" s="121">
        <v>20</v>
      </c>
      <c r="H151" s="121"/>
      <c r="I151" s="121"/>
      <c r="J151" s="121"/>
      <c r="K151" s="119"/>
    </row>
    <row r="152" spans="1:11" ht="28.5" customHeight="1" x14ac:dyDescent="0.3">
      <c r="A152" s="258" t="s">
        <v>80</v>
      </c>
      <c r="B152" s="121"/>
      <c r="C152" s="121"/>
      <c r="D152" s="121"/>
      <c r="E152" s="121"/>
      <c r="F152" s="121"/>
      <c r="G152" s="121"/>
      <c r="H152" s="121"/>
      <c r="I152" s="121"/>
      <c r="J152" s="121"/>
      <c r="K152" s="119"/>
    </row>
    <row r="153" spans="1:11" ht="53.25" customHeight="1" x14ac:dyDescent="0.3">
      <c r="A153" s="123" t="s">
        <v>283</v>
      </c>
      <c r="B153" s="121"/>
      <c r="C153" s="121">
        <f>C147/C150</f>
        <v>50000</v>
      </c>
      <c r="D153" s="121">
        <f>D147/D150</f>
        <v>50000</v>
      </c>
      <c r="E153" s="121"/>
      <c r="F153" s="121">
        <f>G153</f>
        <v>52500</v>
      </c>
      <c r="G153" s="121">
        <f>G147/G150</f>
        <v>52500</v>
      </c>
      <c r="H153" s="121"/>
      <c r="I153" s="121"/>
      <c r="J153" s="121"/>
      <c r="K153" s="119"/>
    </row>
    <row r="154" spans="1:11" ht="57" customHeight="1" x14ac:dyDescent="0.3">
      <c r="A154" s="123" t="s">
        <v>284</v>
      </c>
      <c r="B154" s="121"/>
      <c r="C154" s="121">
        <f>C148/C151</f>
        <v>20000</v>
      </c>
      <c r="D154" s="121">
        <f>D148/D151</f>
        <v>20000</v>
      </c>
      <c r="E154" s="121"/>
      <c r="F154" s="121">
        <f>G154</f>
        <v>10000</v>
      </c>
      <c r="G154" s="121">
        <f>G148/G151</f>
        <v>10000</v>
      </c>
      <c r="H154" s="121"/>
      <c r="I154" s="121"/>
      <c r="J154" s="121"/>
      <c r="K154" s="119"/>
    </row>
    <row r="155" spans="1:11" ht="57" customHeight="1" x14ac:dyDescent="0.3">
      <c r="A155" s="410" t="s">
        <v>507</v>
      </c>
      <c r="B155" s="411"/>
      <c r="C155" s="411"/>
      <c r="D155" s="411"/>
      <c r="E155" s="411"/>
      <c r="F155" s="411"/>
      <c r="G155" s="411"/>
      <c r="H155" s="411"/>
      <c r="I155" s="411"/>
      <c r="J155" s="411"/>
      <c r="K155" s="412"/>
    </row>
    <row r="156" spans="1:11" ht="39.75" customHeight="1" x14ac:dyDescent="0.3">
      <c r="A156" s="258" t="s">
        <v>77</v>
      </c>
      <c r="B156" s="123"/>
      <c r="C156" s="123"/>
      <c r="D156" s="123"/>
      <c r="E156" s="123"/>
      <c r="F156" s="123"/>
      <c r="G156" s="123"/>
      <c r="H156" s="123"/>
      <c r="I156" s="123"/>
      <c r="J156" s="123"/>
      <c r="K156" s="123"/>
    </row>
    <row r="157" spans="1:11" ht="39.75" customHeight="1" x14ac:dyDescent="0.3">
      <c r="A157" s="120" t="s">
        <v>230</v>
      </c>
      <c r="B157" s="256">
        <f>C157</f>
        <v>653300</v>
      </c>
      <c r="C157" s="256">
        <f>D157</f>
        <v>653300</v>
      </c>
      <c r="D157" s="256">
        <f>Дод.3!I72*1000</f>
        <v>653300</v>
      </c>
      <c r="E157" s="123"/>
      <c r="F157" s="123"/>
      <c r="G157" s="123"/>
      <c r="H157" s="123"/>
      <c r="I157" s="123"/>
      <c r="J157" s="123"/>
      <c r="K157" s="123"/>
    </row>
    <row r="158" spans="1:11" ht="39.75" customHeight="1" x14ac:dyDescent="0.3">
      <c r="A158" s="120" t="s">
        <v>477</v>
      </c>
      <c r="B158" s="240"/>
      <c r="C158" s="240"/>
      <c r="D158" s="240"/>
      <c r="E158" s="123"/>
      <c r="F158" s="123"/>
      <c r="G158" s="123"/>
      <c r="H158" s="123"/>
      <c r="I158" s="123"/>
      <c r="J158" s="123"/>
      <c r="K158" s="123"/>
    </row>
    <row r="159" spans="1:11" ht="57" customHeight="1" x14ac:dyDescent="0.3">
      <c r="A159" s="120" t="s">
        <v>285</v>
      </c>
      <c r="B159" s="240"/>
      <c r="C159" s="240">
        <f>D159</f>
        <v>93600</v>
      </c>
      <c r="D159" s="240">
        <f>Дод.3!I73*1000</f>
        <v>93600</v>
      </c>
      <c r="E159" s="123"/>
      <c r="F159" s="123"/>
      <c r="G159" s="123"/>
      <c r="H159" s="123"/>
      <c r="I159" s="123"/>
      <c r="J159" s="123"/>
      <c r="K159" s="123"/>
    </row>
    <row r="160" spans="1:11" ht="57" customHeight="1" x14ac:dyDescent="0.3">
      <c r="A160" s="120" t="s">
        <v>377</v>
      </c>
      <c r="B160" s="240"/>
      <c r="C160" s="240">
        <f t="shared" ref="C160:C171" si="4">D160</f>
        <v>106800</v>
      </c>
      <c r="D160" s="240">
        <f>Дод.3!I75*1000</f>
        <v>106800</v>
      </c>
      <c r="E160" s="123"/>
      <c r="F160" s="123"/>
      <c r="G160" s="123"/>
      <c r="H160" s="123"/>
      <c r="I160" s="123"/>
      <c r="J160" s="123"/>
      <c r="K160" s="123"/>
    </row>
    <row r="161" spans="1:11" ht="79.5" customHeight="1" x14ac:dyDescent="0.3">
      <c r="A161" s="120" t="s">
        <v>478</v>
      </c>
      <c r="B161" s="240"/>
      <c r="C161" s="240">
        <f t="shared" si="4"/>
        <v>452900</v>
      </c>
      <c r="D161" s="240">
        <f>Дод.3!I77*1000</f>
        <v>452900</v>
      </c>
      <c r="E161" s="123"/>
      <c r="F161" s="123"/>
      <c r="G161" s="123"/>
      <c r="H161" s="123"/>
      <c r="I161" s="123"/>
      <c r="J161" s="123"/>
      <c r="K161" s="123"/>
    </row>
    <row r="162" spans="1:11" ht="39.75" customHeight="1" x14ac:dyDescent="0.3">
      <c r="A162" s="258" t="s">
        <v>79</v>
      </c>
      <c r="B162" s="240"/>
      <c r="C162" s="240"/>
      <c r="D162" s="240"/>
      <c r="E162" s="123"/>
      <c r="F162" s="123"/>
      <c r="G162" s="123"/>
      <c r="H162" s="123"/>
      <c r="I162" s="123"/>
      <c r="J162" s="123"/>
      <c r="K162" s="123"/>
    </row>
    <row r="163" spans="1:11" ht="49.5" customHeight="1" x14ac:dyDescent="0.3">
      <c r="A163" s="120" t="s">
        <v>286</v>
      </c>
      <c r="B163" s="240"/>
      <c r="C163" s="240">
        <f t="shared" si="4"/>
        <v>75</v>
      </c>
      <c r="D163" s="240">
        <v>75</v>
      </c>
      <c r="E163" s="123"/>
      <c r="F163" s="123"/>
      <c r="G163" s="123"/>
      <c r="H163" s="123"/>
      <c r="I163" s="123"/>
      <c r="J163" s="123"/>
      <c r="K163" s="123"/>
    </row>
    <row r="164" spans="1:11" ht="57" customHeight="1" x14ac:dyDescent="0.3">
      <c r="A164" s="120" t="s">
        <v>287</v>
      </c>
      <c r="B164" s="240"/>
      <c r="C164" s="240">
        <f t="shared" si="4"/>
        <v>1</v>
      </c>
      <c r="D164" s="240">
        <v>1</v>
      </c>
      <c r="E164" s="123"/>
      <c r="F164" s="123"/>
      <c r="G164" s="123"/>
      <c r="H164" s="123"/>
      <c r="I164" s="123"/>
      <c r="J164" s="123"/>
      <c r="K164" s="123"/>
    </row>
    <row r="165" spans="1:11" ht="62.25" customHeight="1" x14ac:dyDescent="0.3">
      <c r="A165" s="120" t="s">
        <v>479</v>
      </c>
      <c r="B165" s="240"/>
      <c r="C165" s="240">
        <f t="shared" si="4"/>
        <v>5</v>
      </c>
      <c r="D165" s="240">
        <v>5</v>
      </c>
      <c r="E165" s="123"/>
      <c r="F165" s="123"/>
      <c r="G165" s="123"/>
      <c r="H165" s="123"/>
      <c r="I165" s="123"/>
      <c r="J165" s="123"/>
      <c r="K165" s="123"/>
    </row>
    <row r="166" spans="1:11" ht="32.25" customHeight="1" x14ac:dyDescent="0.3">
      <c r="A166" s="258" t="s">
        <v>80</v>
      </c>
      <c r="B166" s="240"/>
      <c r="C166" s="240"/>
      <c r="D166" s="240"/>
      <c r="E166" s="123"/>
      <c r="F166" s="123"/>
      <c r="G166" s="123"/>
      <c r="H166" s="123"/>
      <c r="I166" s="123"/>
      <c r="J166" s="123"/>
      <c r="K166" s="123"/>
    </row>
    <row r="167" spans="1:11" ht="45" customHeight="1" x14ac:dyDescent="0.3">
      <c r="A167" s="120" t="s">
        <v>288</v>
      </c>
      <c r="B167" s="240"/>
      <c r="C167" s="240">
        <f t="shared" si="4"/>
        <v>1248</v>
      </c>
      <c r="D167" s="174">
        <f>D159/D163</f>
        <v>1248</v>
      </c>
      <c r="E167" s="123"/>
      <c r="F167" s="123"/>
      <c r="G167" s="123"/>
      <c r="H167" s="123"/>
      <c r="I167" s="123"/>
      <c r="J167" s="123"/>
      <c r="K167" s="123"/>
    </row>
    <row r="168" spans="1:11" ht="52.5" customHeight="1" x14ac:dyDescent="0.3">
      <c r="A168" s="123" t="s">
        <v>289</v>
      </c>
      <c r="B168" s="240"/>
      <c r="C168" s="240">
        <f t="shared" si="4"/>
        <v>106800</v>
      </c>
      <c r="D168" s="174">
        <f>D160/D164</f>
        <v>106800</v>
      </c>
      <c r="E168" s="123"/>
      <c r="F168" s="123"/>
      <c r="G168" s="123"/>
      <c r="H168" s="123"/>
      <c r="I168" s="123"/>
      <c r="J168" s="123"/>
      <c r="K168" s="123"/>
    </row>
    <row r="169" spans="1:11" ht="77.25" customHeight="1" x14ac:dyDescent="0.3">
      <c r="A169" s="123" t="s">
        <v>480</v>
      </c>
      <c r="B169" s="121"/>
      <c r="C169" s="240">
        <f t="shared" si="4"/>
        <v>90580</v>
      </c>
      <c r="D169" s="174">
        <f>D161/D165</f>
        <v>90580</v>
      </c>
      <c r="E169" s="121"/>
      <c r="F169" s="121"/>
      <c r="G169" s="121"/>
      <c r="H169" s="121"/>
      <c r="I169" s="121"/>
      <c r="J169" s="121"/>
      <c r="K169" s="119"/>
    </row>
    <row r="170" spans="1:11" ht="36" customHeight="1" x14ac:dyDescent="0.3">
      <c r="A170" s="258" t="s">
        <v>81</v>
      </c>
      <c r="B170" s="121"/>
      <c r="C170" s="240"/>
      <c r="D170" s="121"/>
      <c r="E170" s="121"/>
      <c r="F170" s="121"/>
      <c r="G170" s="121"/>
      <c r="H170" s="121"/>
      <c r="I170" s="121"/>
      <c r="J170" s="121"/>
      <c r="K170" s="119"/>
    </row>
    <row r="171" spans="1:11" ht="77.25" customHeight="1" x14ac:dyDescent="0.3">
      <c r="A171" s="120" t="s">
        <v>176</v>
      </c>
      <c r="B171" s="121"/>
      <c r="C171" s="240">
        <f t="shared" si="4"/>
        <v>44</v>
      </c>
      <c r="D171" s="121">
        <v>44</v>
      </c>
      <c r="E171" s="121"/>
      <c r="F171" s="121"/>
      <c r="G171" s="121"/>
      <c r="H171" s="121"/>
      <c r="I171" s="121"/>
      <c r="J171" s="121"/>
      <c r="K171" s="119"/>
    </row>
    <row r="172" spans="1:11" ht="53.25" customHeight="1" x14ac:dyDescent="0.3">
      <c r="A172" s="495" t="s">
        <v>481</v>
      </c>
      <c r="B172" s="496"/>
      <c r="C172" s="496"/>
      <c r="D172" s="496"/>
      <c r="E172" s="496"/>
      <c r="F172" s="496"/>
      <c r="G172" s="496"/>
      <c r="H172" s="496"/>
      <c r="I172" s="496"/>
      <c r="J172" s="496"/>
      <c r="K172" s="497"/>
    </row>
    <row r="173" spans="1:11" ht="28.5" customHeight="1" x14ac:dyDescent="0.3">
      <c r="A173" s="258" t="s">
        <v>77</v>
      </c>
      <c r="B173" s="258"/>
      <c r="C173" s="258"/>
      <c r="D173" s="258"/>
      <c r="E173" s="258"/>
      <c r="F173" s="258"/>
      <c r="G173" s="258"/>
      <c r="H173" s="258"/>
      <c r="I173" s="258"/>
      <c r="J173" s="258"/>
      <c r="K173" s="258"/>
    </row>
    <row r="174" spans="1:11" ht="28.5" customHeight="1" x14ac:dyDescent="0.3">
      <c r="A174" s="120" t="s">
        <v>230</v>
      </c>
      <c r="B174" s="119">
        <f>F174+I174</f>
        <v>2345800</v>
      </c>
      <c r="C174" s="119"/>
      <c r="D174" s="119"/>
      <c r="E174" s="119"/>
      <c r="F174" s="119">
        <f>G174+H174</f>
        <v>584499.99999999988</v>
      </c>
      <c r="G174" s="119">
        <f>Дод.3!J72*1000</f>
        <v>584499.99999999988</v>
      </c>
      <c r="H174" s="119"/>
      <c r="I174" s="119">
        <f>J174+K174</f>
        <v>1761300</v>
      </c>
      <c r="J174" s="119">
        <f>Дод.3!K72*1000</f>
        <v>1761300</v>
      </c>
      <c r="K174" s="119"/>
    </row>
    <row r="175" spans="1:11" ht="54.75" customHeight="1" x14ac:dyDescent="0.3">
      <c r="A175" s="120" t="s">
        <v>285</v>
      </c>
      <c r="B175" s="121"/>
      <c r="C175" s="121"/>
      <c r="D175" s="121"/>
      <c r="E175" s="121"/>
      <c r="F175" s="121">
        <f>G175</f>
        <v>108800</v>
      </c>
      <c r="G175" s="121">
        <f>Дод.3!J74*1000</f>
        <v>108800</v>
      </c>
      <c r="H175" s="121"/>
      <c r="I175" s="121">
        <f>J175</f>
        <v>117400</v>
      </c>
      <c r="J175" s="121">
        <f>Дод.3!K74*1000</f>
        <v>117400</v>
      </c>
      <c r="K175" s="119"/>
    </row>
    <row r="176" spans="1:11" ht="49.5" customHeight="1" x14ac:dyDescent="0.3">
      <c r="A176" s="120" t="s">
        <v>377</v>
      </c>
      <c r="B176" s="121"/>
      <c r="C176" s="121"/>
      <c r="D176" s="121"/>
      <c r="E176" s="121"/>
      <c r="F176" s="121">
        <f>G176</f>
        <v>0</v>
      </c>
      <c r="G176" s="121">
        <f>Дод.3!J76*1000</f>
        <v>0</v>
      </c>
      <c r="H176" s="121"/>
      <c r="I176" s="121">
        <f>J176</f>
        <v>587100</v>
      </c>
      <c r="J176" s="121">
        <f>Дод.3!K76*1000</f>
        <v>587100</v>
      </c>
      <c r="K176" s="119"/>
    </row>
    <row r="177" spans="1:11" ht="57" customHeight="1" x14ac:dyDescent="0.3">
      <c r="A177" s="120" t="s">
        <v>378</v>
      </c>
      <c r="B177" s="121"/>
      <c r="C177" s="121"/>
      <c r="D177" s="121"/>
      <c r="E177" s="121"/>
      <c r="F177" s="121">
        <f>G177</f>
        <v>475699.99999999994</v>
      </c>
      <c r="G177" s="121">
        <f>Дод.3!J78*1000</f>
        <v>475699.99999999994</v>
      </c>
      <c r="H177" s="121"/>
      <c r="I177" s="121">
        <f>J177</f>
        <v>1056800</v>
      </c>
      <c r="J177" s="121">
        <f>Дод.3!K78*1000</f>
        <v>1056800</v>
      </c>
      <c r="K177" s="119"/>
    </row>
    <row r="178" spans="1:11" ht="28.5" customHeight="1" x14ac:dyDescent="0.3">
      <c r="A178" s="258" t="s">
        <v>79</v>
      </c>
      <c r="B178" s="121"/>
      <c r="C178" s="121"/>
      <c r="D178" s="121"/>
      <c r="E178" s="121"/>
      <c r="F178" s="121"/>
      <c r="G178" s="121"/>
      <c r="H178" s="121"/>
      <c r="I178" s="121"/>
      <c r="J178" s="121"/>
      <c r="K178" s="119"/>
    </row>
    <row r="179" spans="1:11" ht="47.25" customHeight="1" x14ac:dyDescent="0.3">
      <c r="A179" s="120" t="s">
        <v>286</v>
      </c>
      <c r="B179" s="121"/>
      <c r="C179" s="121"/>
      <c r="D179" s="121"/>
      <c r="E179" s="121"/>
      <c r="F179" s="121">
        <f>G179</f>
        <v>68</v>
      </c>
      <c r="G179" s="121">
        <v>68</v>
      </c>
      <c r="H179" s="121"/>
      <c r="I179" s="121">
        <f>J179</f>
        <v>75</v>
      </c>
      <c r="J179" s="121">
        <v>75</v>
      </c>
      <c r="K179" s="119"/>
    </row>
    <row r="180" spans="1:11" ht="54.75" customHeight="1" x14ac:dyDescent="0.3">
      <c r="A180" s="120" t="s">
        <v>287</v>
      </c>
      <c r="B180" s="121"/>
      <c r="C180" s="121"/>
      <c r="D180" s="121"/>
      <c r="E180" s="121"/>
      <c r="F180" s="121">
        <f>G180</f>
        <v>1</v>
      </c>
      <c r="G180" s="121">
        <v>1</v>
      </c>
      <c r="H180" s="121"/>
      <c r="I180" s="121">
        <f>J180</f>
        <v>1</v>
      </c>
      <c r="J180" s="121">
        <v>1</v>
      </c>
      <c r="K180" s="119"/>
    </row>
    <row r="181" spans="1:11" ht="47.25" customHeight="1" x14ac:dyDescent="0.3">
      <c r="A181" s="120" t="s">
        <v>379</v>
      </c>
      <c r="B181" s="121"/>
      <c r="C181" s="121"/>
      <c r="D181" s="121"/>
      <c r="E181" s="121"/>
      <c r="F181" s="121">
        <f>G181</f>
        <v>6</v>
      </c>
      <c r="G181" s="121">
        <v>6</v>
      </c>
      <c r="H181" s="121"/>
      <c r="I181" s="121">
        <f>J181</f>
        <v>5</v>
      </c>
      <c r="J181" s="121">
        <v>5</v>
      </c>
      <c r="K181" s="119"/>
    </row>
    <row r="182" spans="1:11" ht="28.5" customHeight="1" x14ac:dyDescent="0.3">
      <c r="A182" s="258" t="s">
        <v>80</v>
      </c>
      <c r="B182" s="121"/>
      <c r="C182" s="121"/>
      <c r="D182" s="121"/>
      <c r="E182" s="121"/>
      <c r="F182" s="121"/>
      <c r="G182" s="121"/>
      <c r="H182" s="121"/>
      <c r="I182" s="121"/>
      <c r="J182" s="121"/>
      <c r="K182" s="119"/>
    </row>
    <row r="183" spans="1:11" ht="49.5" customHeight="1" x14ac:dyDescent="0.3">
      <c r="A183" s="120" t="s">
        <v>288</v>
      </c>
      <c r="B183" s="121"/>
      <c r="C183" s="121"/>
      <c r="D183" s="121"/>
      <c r="E183" s="121"/>
      <c r="F183" s="121">
        <f>G183</f>
        <v>1600</v>
      </c>
      <c r="G183" s="121">
        <f>G175/G179</f>
        <v>1600</v>
      </c>
      <c r="H183" s="121"/>
      <c r="I183" s="121">
        <f>J183</f>
        <v>1565.3333333333333</v>
      </c>
      <c r="J183" s="121">
        <f>J175/J179</f>
        <v>1565.3333333333333</v>
      </c>
      <c r="K183" s="119"/>
    </row>
    <row r="184" spans="1:11" ht="60" customHeight="1" x14ac:dyDescent="0.3">
      <c r="A184" s="123" t="s">
        <v>289</v>
      </c>
      <c r="B184" s="121"/>
      <c r="C184" s="121"/>
      <c r="D184" s="121"/>
      <c r="E184" s="121"/>
      <c r="F184" s="121">
        <f>G184</f>
        <v>0</v>
      </c>
      <c r="G184" s="121">
        <f>G176/G180</f>
        <v>0</v>
      </c>
      <c r="H184" s="121"/>
      <c r="I184" s="121">
        <f>J184</f>
        <v>587100</v>
      </c>
      <c r="J184" s="121">
        <f>J176/J180</f>
        <v>587100</v>
      </c>
      <c r="K184" s="119"/>
    </row>
    <row r="185" spans="1:11" ht="77.25" customHeight="1" x14ac:dyDescent="0.3">
      <c r="A185" s="123" t="s">
        <v>380</v>
      </c>
      <c r="B185" s="121"/>
      <c r="C185" s="121"/>
      <c r="D185" s="121"/>
      <c r="E185" s="121"/>
      <c r="F185" s="121">
        <f>G185</f>
        <v>79283.333333333328</v>
      </c>
      <c r="G185" s="121">
        <f>G177/G181</f>
        <v>79283.333333333328</v>
      </c>
      <c r="H185" s="121"/>
      <c r="I185" s="121">
        <f>J185</f>
        <v>211360</v>
      </c>
      <c r="J185" s="121">
        <f>J177/J181</f>
        <v>211360</v>
      </c>
      <c r="K185" s="119"/>
    </row>
    <row r="186" spans="1:11" ht="28.5" customHeight="1" x14ac:dyDescent="0.3">
      <c r="A186" s="258" t="s">
        <v>81</v>
      </c>
      <c r="B186" s="121"/>
      <c r="C186" s="121"/>
      <c r="D186" s="121"/>
      <c r="E186" s="121"/>
      <c r="F186" s="121"/>
      <c r="G186" s="121"/>
      <c r="H186" s="121"/>
      <c r="I186" s="121"/>
      <c r="J186" s="121"/>
      <c r="K186" s="119"/>
    </row>
    <row r="187" spans="1:11" ht="73.5" customHeight="1" x14ac:dyDescent="0.3">
      <c r="A187" s="120" t="s">
        <v>176</v>
      </c>
      <c r="B187" s="121"/>
      <c r="C187" s="121"/>
      <c r="D187" s="121"/>
      <c r="E187" s="121"/>
      <c r="F187" s="121">
        <f>G187</f>
        <v>89.468850451553621</v>
      </c>
      <c r="G187" s="121">
        <f>G174/D157*100</f>
        <v>89.468850451553621</v>
      </c>
      <c r="H187" s="121"/>
      <c r="I187" s="121">
        <f>J187</f>
        <v>301.33447390932429</v>
      </c>
      <c r="J187" s="121">
        <f>J174/G174*100</f>
        <v>301.33447390932429</v>
      </c>
      <c r="K187" s="119"/>
    </row>
    <row r="188" spans="1:11" ht="32.25" customHeight="1" x14ac:dyDescent="0.3">
      <c r="A188" s="495" t="s">
        <v>446</v>
      </c>
      <c r="B188" s="496"/>
      <c r="C188" s="496"/>
      <c r="D188" s="496"/>
      <c r="E188" s="496"/>
      <c r="F188" s="496"/>
      <c r="G188" s="496"/>
      <c r="H188" s="496"/>
      <c r="I188" s="496"/>
      <c r="J188" s="496"/>
      <c r="K188" s="497"/>
    </row>
    <row r="189" spans="1:11" ht="32.25" customHeight="1" x14ac:dyDescent="0.3">
      <c r="A189" s="258" t="s">
        <v>77</v>
      </c>
      <c r="B189" s="130"/>
      <c r="C189" s="130"/>
      <c r="D189" s="130"/>
      <c r="E189" s="130"/>
      <c r="F189" s="130"/>
      <c r="G189" s="130"/>
      <c r="H189" s="130"/>
      <c r="I189" s="130"/>
      <c r="J189" s="130"/>
      <c r="K189" s="130"/>
    </row>
    <row r="190" spans="1:11" ht="51" customHeight="1" x14ac:dyDescent="0.3">
      <c r="A190" s="120" t="s">
        <v>310</v>
      </c>
      <c r="B190" s="119">
        <f>C190+F190+I190</f>
        <v>1748400</v>
      </c>
      <c r="C190" s="119">
        <f>D190</f>
        <v>1748400</v>
      </c>
      <c r="D190" s="119">
        <f>Дод.3!I79*1000</f>
        <v>1748400</v>
      </c>
      <c r="E190" s="130"/>
      <c r="F190" s="121"/>
      <c r="G190" s="121"/>
      <c r="H190" s="130"/>
      <c r="I190" s="130"/>
      <c r="J190" s="130"/>
      <c r="K190" s="130"/>
    </row>
    <row r="191" spans="1:11" ht="33.75" customHeight="1" x14ac:dyDescent="0.3">
      <c r="A191" s="258" t="s">
        <v>79</v>
      </c>
      <c r="B191" s="121"/>
      <c r="C191" s="121"/>
      <c r="D191" s="121"/>
      <c r="E191" s="130"/>
      <c r="F191" s="121"/>
      <c r="G191" s="121"/>
      <c r="H191" s="130"/>
      <c r="I191" s="130"/>
      <c r="J191" s="130"/>
      <c r="K191" s="130"/>
    </row>
    <row r="192" spans="1:11" ht="33.75" customHeight="1" x14ac:dyDescent="0.3">
      <c r="A192" s="120" t="s">
        <v>166</v>
      </c>
      <c r="B192" s="121"/>
      <c r="C192" s="121">
        <v>2</v>
      </c>
      <c r="D192" s="121">
        <v>2</v>
      </c>
      <c r="E192" s="130"/>
      <c r="F192" s="121"/>
      <c r="G192" s="121"/>
      <c r="H192" s="130"/>
      <c r="I192" s="130"/>
      <c r="J192" s="130"/>
      <c r="K192" s="130"/>
    </row>
    <row r="193" spans="1:11" ht="36" customHeight="1" x14ac:dyDescent="0.3">
      <c r="A193" s="258" t="s">
        <v>80</v>
      </c>
      <c r="B193" s="121"/>
      <c r="C193" s="121"/>
      <c r="D193" s="121"/>
      <c r="E193" s="130"/>
      <c r="F193" s="121"/>
      <c r="G193" s="121"/>
      <c r="H193" s="130"/>
      <c r="I193" s="130"/>
      <c r="J193" s="130"/>
      <c r="K193" s="130"/>
    </row>
    <row r="194" spans="1:11" ht="36" customHeight="1" x14ac:dyDescent="0.3">
      <c r="A194" s="120" t="s">
        <v>221</v>
      </c>
      <c r="B194" s="121"/>
      <c r="C194" s="121">
        <f>C190/C192</f>
        <v>874200</v>
      </c>
      <c r="D194" s="121">
        <f>D190/D192</f>
        <v>874200</v>
      </c>
      <c r="E194" s="130"/>
      <c r="F194" s="121"/>
      <c r="G194" s="121"/>
      <c r="H194" s="130"/>
      <c r="I194" s="130"/>
      <c r="J194" s="130"/>
      <c r="K194" s="130"/>
    </row>
    <row r="195" spans="1:11" ht="36" customHeight="1" x14ac:dyDescent="0.3">
      <c r="A195" s="258" t="s">
        <v>81</v>
      </c>
      <c r="B195" s="121"/>
      <c r="C195" s="121"/>
      <c r="D195" s="121"/>
      <c r="E195" s="130"/>
      <c r="F195" s="121"/>
      <c r="G195" s="121"/>
      <c r="H195" s="130"/>
      <c r="I195" s="130"/>
      <c r="J195" s="130"/>
      <c r="K195" s="130"/>
    </row>
    <row r="196" spans="1:11" ht="36" customHeight="1" x14ac:dyDescent="0.3">
      <c r="A196" s="120" t="s">
        <v>182</v>
      </c>
      <c r="B196" s="121"/>
      <c r="C196" s="121">
        <v>100</v>
      </c>
      <c r="D196" s="121">
        <v>100</v>
      </c>
      <c r="E196" s="130"/>
      <c r="F196" s="121"/>
      <c r="G196" s="121"/>
      <c r="H196" s="130"/>
      <c r="I196" s="130"/>
      <c r="J196" s="130"/>
      <c r="K196" s="130"/>
    </row>
    <row r="197" spans="1:11" ht="36" customHeight="1" x14ac:dyDescent="0.3">
      <c r="A197" s="495" t="s">
        <v>447</v>
      </c>
      <c r="B197" s="496"/>
      <c r="C197" s="496"/>
      <c r="D197" s="496"/>
      <c r="E197" s="496"/>
      <c r="F197" s="496"/>
      <c r="G197" s="496"/>
      <c r="H197" s="496"/>
      <c r="I197" s="496"/>
      <c r="J197" s="496"/>
      <c r="K197" s="497"/>
    </row>
    <row r="198" spans="1:11" ht="36" customHeight="1" x14ac:dyDescent="0.3">
      <c r="A198" s="258" t="s">
        <v>77</v>
      </c>
      <c r="B198" s="121"/>
      <c r="C198" s="121"/>
      <c r="D198" s="121"/>
      <c r="E198" s="130"/>
      <c r="F198" s="121"/>
      <c r="G198" s="121"/>
      <c r="H198" s="130"/>
      <c r="I198" s="130"/>
      <c r="J198" s="130"/>
      <c r="K198" s="130"/>
    </row>
    <row r="199" spans="1:11" ht="49.5" customHeight="1" x14ac:dyDescent="0.3">
      <c r="A199" s="120" t="s">
        <v>448</v>
      </c>
      <c r="B199" s="119">
        <f>F199+I199</f>
        <v>5079300</v>
      </c>
      <c r="C199" s="119"/>
      <c r="D199" s="119"/>
      <c r="E199" s="131"/>
      <c r="F199" s="119">
        <f>G199</f>
        <v>5079300</v>
      </c>
      <c r="G199" s="119">
        <f>Дод.3!J83*1000</f>
        <v>5079300</v>
      </c>
      <c r="H199" s="130"/>
      <c r="I199" s="130">
        <f>J199</f>
        <v>0</v>
      </c>
      <c r="J199" s="130">
        <f>Дод.3!K83</f>
        <v>0</v>
      </c>
      <c r="K199" s="130"/>
    </row>
    <row r="200" spans="1:11" ht="36" customHeight="1" x14ac:dyDescent="0.3">
      <c r="A200" s="258" t="s">
        <v>79</v>
      </c>
      <c r="B200" s="121"/>
      <c r="C200" s="121"/>
      <c r="D200" s="121"/>
      <c r="E200" s="130"/>
      <c r="F200" s="121"/>
      <c r="G200" s="121"/>
      <c r="H200" s="130"/>
      <c r="I200" s="130"/>
      <c r="J200" s="130"/>
      <c r="K200" s="130"/>
    </row>
    <row r="201" spans="1:11" ht="36" customHeight="1" x14ac:dyDescent="0.3">
      <c r="A201" s="120" t="s">
        <v>166</v>
      </c>
      <c r="B201" s="121"/>
      <c r="C201" s="121"/>
      <c r="D201" s="121"/>
      <c r="E201" s="130"/>
      <c r="F201" s="121">
        <f>G201</f>
        <v>2</v>
      </c>
      <c r="G201" s="121">
        <v>2</v>
      </c>
      <c r="H201" s="130"/>
      <c r="I201" s="130"/>
      <c r="J201" s="130"/>
      <c r="K201" s="130"/>
    </row>
    <row r="202" spans="1:11" ht="36" customHeight="1" x14ac:dyDescent="0.3">
      <c r="A202" s="258" t="s">
        <v>80</v>
      </c>
      <c r="B202" s="121"/>
      <c r="C202" s="121"/>
      <c r="D202" s="121"/>
      <c r="E202" s="130"/>
      <c r="F202" s="121"/>
      <c r="G202" s="121"/>
      <c r="H202" s="130"/>
      <c r="I202" s="130"/>
      <c r="J202" s="130"/>
      <c r="K202" s="130"/>
    </row>
    <row r="203" spans="1:11" ht="36" customHeight="1" x14ac:dyDescent="0.3">
      <c r="A203" s="120" t="s">
        <v>221</v>
      </c>
      <c r="B203" s="121"/>
      <c r="C203" s="121"/>
      <c r="D203" s="121"/>
      <c r="E203" s="130"/>
      <c r="F203" s="121">
        <f>G203</f>
        <v>2539650</v>
      </c>
      <c r="G203" s="121">
        <f>G199/G201</f>
        <v>2539650</v>
      </c>
      <c r="H203" s="130"/>
      <c r="I203" s="130"/>
      <c r="J203" s="130"/>
      <c r="K203" s="130"/>
    </row>
    <row r="204" spans="1:11" ht="36" customHeight="1" x14ac:dyDescent="0.3">
      <c r="A204" s="258" t="s">
        <v>81</v>
      </c>
      <c r="B204" s="121"/>
      <c r="C204" s="121"/>
      <c r="D204" s="121"/>
      <c r="E204" s="130"/>
      <c r="F204" s="121"/>
      <c r="G204" s="121"/>
      <c r="H204" s="130"/>
      <c r="I204" s="130"/>
      <c r="J204" s="130"/>
      <c r="K204" s="130"/>
    </row>
    <row r="205" spans="1:11" ht="36" customHeight="1" x14ac:dyDescent="0.3">
      <c r="A205" s="120" t="s">
        <v>182</v>
      </c>
      <c r="B205" s="121"/>
      <c r="C205" s="121"/>
      <c r="D205" s="121"/>
      <c r="E205" s="130"/>
      <c r="F205" s="121">
        <v>100</v>
      </c>
      <c r="G205" s="121">
        <v>100</v>
      </c>
      <c r="H205" s="130"/>
      <c r="I205" s="130"/>
      <c r="J205" s="130"/>
      <c r="K205" s="130"/>
    </row>
    <row r="206" spans="1:11" ht="36" customHeight="1" x14ac:dyDescent="0.3">
      <c r="A206" s="495" t="s">
        <v>541</v>
      </c>
      <c r="B206" s="496"/>
      <c r="C206" s="496"/>
      <c r="D206" s="496"/>
      <c r="E206" s="496"/>
      <c r="F206" s="496"/>
      <c r="G206" s="496"/>
      <c r="H206" s="496"/>
      <c r="I206" s="496"/>
      <c r="J206" s="496"/>
      <c r="K206" s="497"/>
    </row>
    <row r="207" spans="1:11" ht="36" customHeight="1" x14ac:dyDescent="0.3">
      <c r="A207" s="258" t="s">
        <v>77</v>
      </c>
      <c r="B207" s="121"/>
      <c r="C207" s="121"/>
      <c r="D207" s="121"/>
      <c r="E207" s="130"/>
      <c r="F207" s="130"/>
      <c r="G207" s="130"/>
      <c r="H207" s="130"/>
      <c r="I207" s="130"/>
      <c r="J207" s="130"/>
      <c r="K207" s="130"/>
    </row>
    <row r="208" spans="1:11" ht="36" customHeight="1" x14ac:dyDescent="0.3">
      <c r="A208" s="120" t="s">
        <v>161</v>
      </c>
      <c r="B208" s="119">
        <f>C208+F208</f>
        <v>1000000</v>
      </c>
      <c r="C208" s="119">
        <f>D208</f>
        <v>1000000</v>
      </c>
      <c r="D208" s="119">
        <f>Дод.3!I87*1000</f>
        <v>1000000</v>
      </c>
      <c r="E208" s="121"/>
      <c r="F208" s="121"/>
      <c r="G208" s="121"/>
      <c r="H208" s="121"/>
      <c r="I208" s="121"/>
      <c r="J208" s="121"/>
      <c r="K208" s="121"/>
    </row>
    <row r="209" spans="1:11" ht="36" customHeight="1" x14ac:dyDescent="0.3">
      <c r="A209" s="258" t="s">
        <v>79</v>
      </c>
      <c r="B209" s="121"/>
      <c r="C209" s="121"/>
      <c r="D209" s="121"/>
      <c r="E209" s="130"/>
      <c r="F209" s="121"/>
      <c r="G209" s="121"/>
      <c r="H209" s="130"/>
      <c r="I209" s="130"/>
      <c r="J209" s="130"/>
      <c r="K209" s="130"/>
    </row>
    <row r="210" spans="1:11" ht="36" customHeight="1" x14ac:dyDescent="0.3">
      <c r="A210" s="120" t="s">
        <v>327</v>
      </c>
      <c r="B210" s="121"/>
      <c r="C210" s="121">
        <v>2</v>
      </c>
      <c r="D210" s="121">
        <v>2</v>
      </c>
      <c r="E210" s="130"/>
      <c r="F210" s="121"/>
      <c r="G210" s="121"/>
      <c r="H210" s="130"/>
      <c r="I210" s="130"/>
      <c r="J210" s="130"/>
      <c r="K210" s="130"/>
    </row>
    <row r="211" spans="1:11" ht="62.25" customHeight="1" x14ac:dyDescent="0.3">
      <c r="A211" s="120" t="s">
        <v>321</v>
      </c>
      <c r="B211" s="121"/>
      <c r="C211" s="121">
        <f>D211</f>
        <v>60</v>
      </c>
      <c r="D211" s="121">
        <f>50+10</f>
        <v>60</v>
      </c>
      <c r="E211" s="130"/>
      <c r="F211" s="121"/>
      <c r="G211" s="121"/>
      <c r="H211" s="130"/>
      <c r="I211" s="130"/>
      <c r="J211" s="130"/>
      <c r="K211" s="130"/>
    </row>
    <row r="212" spans="1:11" ht="36" customHeight="1" x14ac:dyDescent="0.3">
      <c r="A212" s="258" t="s">
        <v>80</v>
      </c>
      <c r="B212" s="121"/>
      <c r="C212" s="121"/>
      <c r="D212" s="121"/>
      <c r="E212" s="130"/>
      <c r="F212" s="121"/>
      <c r="G212" s="121"/>
      <c r="H212" s="130"/>
      <c r="I212" s="130"/>
      <c r="J212" s="130"/>
      <c r="K212" s="130"/>
    </row>
    <row r="213" spans="1:11" ht="36" customHeight="1" x14ac:dyDescent="0.3">
      <c r="A213" s="120" t="s">
        <v>322</v>
      </c>
      <c r="B213" s="121"/>
      <c r="C213" s="121">
        <f>D213</f>
        <v>16666.666666666668</v>
      </c>
      <c r="D213" s="121">
        <f>D208/D211</f>
        <v>16666.666666666668</v>
      </c>
      <c r="E213" s="130"/>
      <c r="F213" s="121"/>
      <c r="G213" s="121"/>
      <c r="H213" s="130"/>
      <c r="I213" s="130"/>
      <c r="J213" s="130"/>
      <c r="K213" s="130"/>
    </row>
    <row r="214" spans="1:11" ht="36" customHeight="1" x14ac:dyDescent="0.3">
      <c r="A214" s="495" t="s">
        <v>542</v>
      </c>
      <c r="B214" s="496"/>
      <c r="C214" s="496"/>
      <c r="D214" s="496"/>
      <c r="E214" s="496"/>
      <c r="F214" s="496"/>
      <c r="G214" s="496"/>
      <c r="H214" s="496"/>
      <c r="I214" s="496"/>
      <c r="J214" s="496"/>
      <c r="K214" s="497"/>
    </row>
    <row r="215" spans="1:11" ht="36" customHeight="1" x14ac:dyDescent="0.3">
      <c r="A215" s="258" t="s">
        <v>77</v>
      </c>
      <c r="B215" s="121"/>
      <c r="C215" s="121"/>
      <c r="D215" s="121"/>
      <c r="E215" s="130"/>
      <c r="F215" s="121"/>
      <c r="G215" s="121"/>
      <c r="H215" s="130"/>
      <c r="I215" s="130"/>
      <c r="J215" s="130"/>
      <c r="K215" s="130"/>
    </row>
    <row r="216" spans="1:11" ht="36" customHeight="1" x14ac:dyDescent="0.3">
      <c r="A216" s="120" t="s">
        <v>161</v>
      </c>
      <c r="B216" s="119">
        <f>F216+I216</f>
        <v>1000000</v>
      </c>
      <c r="C216" s="119"/>
      <c r="D216" s="119"/>
      <c r="E216" s="131"/>
      <c r="F216" s="119">
        <f>G216</f>
        <v>1000000</v>
      </c>
      <c r="G216" s="119">
        <f>Дод.3!J90*1000</f>
        <v>1000000</v>
      </c>
      <c r="H216" s="130"/>
      <c r="I216" s="130"/>
      <c r="J216" s="130"/>
      <c r="K216" s="130"/>
    </row>
    <row r="217" spans="1:11" ht="36" customHeight="1" x14ac:dyDescent="0.3">
      <c r="A217" s="258" t="s">
        <v>79</v>
      </c>
      <c r="B217" s="121"/>
      <c r="C217" s="121"/>
      <c r="D217" s="121"/>
      <c r="E217" s="130"/>
      <c r="F217" s="121"/>
      <c r="G217" s="121"/>
      <c r="H217" s="130"/>
      <c r="I217" s="130"/>
      <c r="J217" s="130"/>
      <c r="K217" s="130"/>
    </row>
    <row r="218" spans="1:11" ht="36" customHeight="1" x14ac:dyDescent="0.3">
      <c r="A218" s="120" t="s">
        <v>327</v>
      </c>
      <c r="B218" s="121"/>
      <c r="C218" s="121"/>
      <c r="D218" s="121"/>
      <c r="E218" s="130"/>
      <c r="F218" s="121">
        <v>2</v>
      </c>
      <c r="G218" s="121">
        <v>2</v>
      </c>
      <c r="H218" s="130"/>
      <c r="I218" s="130"/>
      <c r="J218" s="130"/>
      <c r="K218" s="130"/>
    </row>
    <row r="219" spans="1:11" ht="62.25" customHeight="1" x14ac:dyDescent="0.3">
      <c r="A219" s="120" t="s">
        <v>321</v>
      </c>
      <c r="B219" s="121"/>
      <c r="C219" s="121"/>
      <c r="D219" s="121"/>
      <c r="E219" s="130"/>
      <c r="F219" s="121">
        <v>60</v>
      </c>
      <c r="G219" s="121">
        <v>60</v>
      </c>
      <c r="H219" s="130"/>
      <c r="I219" s="130"/>
      <c r="J219" s="130"/>
      <c r="K219" s="130"/>
    </row>
    <row r="220" spans="1:11" ht="36" customHeight="1" x14ac:dyDescent="0.3">
      <c r="A220" s="258" t="s">
        <v>80</v>
      </c>
      <c r="B220" s="121"/>
      <c r="C220" s="121"/>
      <c r="D220" s="121"/>
      <c r="E220" s="130"/>
      <c r="F220" s="121"/>
      <c r="G220" s="121"/>
      <c r="H220" s="130"/>
      <c r="I220" s="130"/>
      <c r="J220" s="130"/>
      <c r="K220" s="130"/>
    </row>
    <row r="221" spans="1:11" ht="36" customHeight="1" x14ac:dyDescent="0.3">
      <c r="A221" s="120" t="s">
        <v>322</v>
      </c>
      <c r="B221" s="121"/>
      <c r="C221" s="121"/>
      <c r="D221" s="121"/>
      <c r="E221" s="130"/>
      <c r="F221" s="121">
        <f>G221</f>
        <v>16666.666666666668</v>
      </c>
      <c r="G221" s="121">
        <f>G216/G219</f>
        <v>16666.666666666668</v>
      </c>
      <c r="H221" s="130"/>
      <c r="I221" s="130"/>
      <c r="J221" s="130"/>
      <c r="K221" s="130"/>
    </row>
    <row r="222" spans="1:11" ht="36" customHeight="1" x14ac:dyDescent="0.3">
      <c r="A222" s="495" t="s">
        <v>449</v>
      </c>
      <c r="B222" s="496"/>
      <c r="C222" s="496"/>
      <c r="D222" s="496"/>
      <c r="E222" s="496"/>
      <c r="F222" s="496"/>
      <c r="G222" s="496"/>
      <c r="H222" s="496"/>
      <c r="I222" s="496"/>
      <c r="J222" s="496"/>
      <c r="K222" s="497"/>
    </row>
    <row r="223" spans="1:11" ht="36" customHeight="1" x14ac:dyDescent="0.3">
      <c r="A223" s="258" t="s">
        <v>77</v>
      </c>
      <c r="B223" s="121"/>
      <c r="C223" s="121"/>
      <c r="D223" s="121"/>
      <c r="E223" s="130"/>
      <c r="F223" s="130"/>
      <c r="G223" s="130"/>
      <c r="H223" s="130"/>
      <c r="I223" s="130"/>
      <c r="J223" s="130"/>
      <c r="K223" s="130"/>
    </row>
    <row r="224" spans="1:11" ht="36" customHeight="1" x14ac:dyDescent="0.3">
      <c r="A224" s="120" t="s">
        <v>230</v>
      </c>
      <c r="B224" s="119">
        <f>C224+F224+I224</f>
        <v>8745500</v>
      </c>
      <c r="C224" s="119"/>
      <c r="D224" s="119"/>
      <c r="E224" s="131"/>
      <c r="F224" s="131">
        <f>G224</f>
        <v>8745500</v>
      </c>
      <c r="G224" s="131">
        <f>Дод.3!J93*1000</f>
        <v>8745500</v>
      </c>
      <c r="H224" s="131"/>
      <c r="I224" s="130"/>
      <c r="J224" s="130"/>
      <c r="K224" s="130"/>
    </row>
    <row r="225" spans="1:11" ht="36" customHeight="1" x14ac:dyDescent="0.3">
      <c r="A225" s="120" t="s">
        <v>333</v>
      </c>
      <c r="B225" s="121"/>
      <c r="C225" s="121"/>
      <c r="D225" s="121"/>
      <c r="E225" s="130"/>
      <c r="F225" s="132">
        <f>G225</f>
        <v>27.25</v>
      </c>
      <c r="G225" s="132">
        <v>27.25</v>
      </c>
      <c r="H225" s="130"/>
      <c r="I225" s="130"/>
      <c r="J225" s="130"/>
      <c r="K225" s="130"/>
    </row>
    <row r="226" spans="1:11" ht="36" customHeight="1" x14ac:dyDescent="0.3">
      <c r="A226" s="120" t="s">
        <v>337</v>
      </c>
      <c r="B226" s="121"/>
      <c r="C226" s="121"/>
      <c r="D226" s="121"/>
      <c r="E226" s="130"/>
      <c r="F226" s="132"/>
      <c r="G226" s="132"/>
      <c r="H226" s="130"/>
      <c r="I226" s="130"/>
      <c r="J226" s="130"/>
      <c r="K226" s="130"/>
    </row>
    <row r="227" spans="1:11" ht="36" customHeight="1" x14ac:dyDescent="0.3">
      <c r="A227" s="120" t="s">
        <v>338</v>
      </c>
      <c r="B227" s="121"/>
      <c r="C227" s="121"/>
      <c r="D227" s="121"/>
      <c r="E227" s="130"/>
      <c r="F227" s="132">
        <f>G227</f>
        <v>5.25</v>
      </c>
      <c r="G227" s="132">
        <v>5.25</v>
      </c>
      <c r="H227" s="130"/>
      <c r="I227" s="130"/>
      <c r="J227" s="130"/>
      <c r="K227" s="130"/>
    </row>
    <row r="228" spans="1:11" ht="36" customHeight="1" x14ac:dyDescent="0.3">
      <c r="A228" s="120" t="s">
        <v>339</v>
      </c>
      <c r="B228" s="121"/>
      <c r="C228" s="121"/>
      <c r="D228" s="121"/>
      <c r="E228" s="130"/>
      <c r="F228" s="132">
        <f>G228</f>
        <v>26</v>
      </c>
      <c r="G228" s="132">
        <v>26</v>
      </c>
      <c r="H228" s="130"/>
      <c r="I228" s="130"/>
      <c r="J228" s="130"/>
      <c r="K228" s="130"/>
    </row>
    <row r="229" spans="1:11" ht="36" customHeight="1" x14ac:dyDescent="0.3">
      <c r="A229" s="120" t="s">
        <v>340</v>
      </c>
      <c r="B229" s="121"/>
      <c r="C229" s="121"/>
      <c r="D229" s="121"/>
      <c r="E229" s="130"/>
      <c r="F229" s="132"/>
      <c r="G229" s="132"/>
      <c r="H229" s="130"/>
      <c r="I229" s="130"/>
      <c r="J229" s="130"/>
      <c r="K229" s="130"/>
    </row>
    <row r="230" spans="1:11" ht="36" customHeight="1" x14ac:dyDescent="0.3">
      <c r="A230" s="258" t="s">
        <v>79</v>
      </c>
      <c r="B230" s="121"/>
      <c r="C230" s="121"/>
      <c r="D230" s="121"/>
      <c r="E230" s="130"/>
      <c r="F230" s="130"/>
      <c r="G230" s="130"/>
      <c r="H230" s="130"/>
      <c r="I230" s="130"/>
      <c r="J230" s="130"/>
      <c r="K230" s="130"/>
    </row>
    <row r="231" spans="1:11" ht="36" customHeight="1" x14ac:dyDescent="0.3">
      <c r="A231" s="120" t="s">
        <v>334</v>
      </c>
      <c r="B231" s="121"/>
      <c r="C231" s="121"/>
      <c r="D231" s="121"/>
      <c r="E231" s="130"/>
      <c r="F231" s="130">
        <f>G231</f>
        <v>1200</v>
      </c>
      <c r="G231" s="130">
        <v>1200</v>
      </c>
      <c r="H231" s="130"/>
      <c r="I231" s="130"/>
      <c r="J231" s="130"/>
      <c r="K231" s="130"/>
    </row>
    <row r="232" spans="1:11" ht="36" customHeight="1" x14ac:dyDescent="0.3">
      <c r="A232" s="258" t="s">
        <v>80</v>
      </c>
      <c r="B232" s="121"/>
      <c r="C232" s="121"/>
      <c r="D232" s="121"/>
      <c r="E232" s="130"/>
      <c r="F232" s="130"/>
      <c r="G232" s="130"/>
      <c r="H232" s="130"/>
      <c r="I232" s="130"/>
      <c r="J232" s="130"/>
      <c r="K232" s="130"/>
    </row>
    <row r="233" spans="1:11" ht="58.5" customHeight="1" x14ac:dyDescent="0.3">
      <c r="A233" s="120" t="s">
        <v>335</v>
      </c>
      <c r="B233" s="121"/>
      <c r="C233" s="121"/>
      <c r="D233" s="121"/>
      <c r="E233" s="130"/>
      <c r="F233" s="130">
        <f>G233</f>
        <v>229</v>
      </c>
      <c r="G233" s="130">
        <v>229</v>
      </c>
      <c r="H233" s="130"/>
      <c r="I233" s="130"/>
      <c r="J233" s="130"/>
      <c r="K233" s="130"/>
    </row>
    <row r="234" spans="1:11" ht="36" customHeight="1" x14ac:dyDescent="0.3">
      <c r="A234" s="258" t="s">
        <v>81</v>
      </c>
      <c r="B234" s="121"/>
      <c r="C234" s="121"/>
      <c r="D234" s="121"/>
      <c r="E234" s="130"/>
      <c r="F234" s="130"/>
      <c r="G234" s="130"/>
      <c r="H234" s="130"/>
      <c r="I234" s="130"/>
      <c r="J234" s="130"/>
      <c r="K234" s="130"/>
    </row>
    <row r="235" spans="1:11" ht="36" customHeight="1" x14ac:dyDescent="0.3">
      <c r="A235" s="120" t="s">
        <v>336</v>
      </c>
      <c r="B235" s="121"/>
      <c r="C235" s="121"/>
      <c r="D235" s="121"/>
      <c r="E235" s="130"/>
      <c r="F235" s="130"/>
      <c r="G235" s="130"/>
      <c r="H235" s="130"/>
      <c r="I235" s="130"/>
      <c r="J235" s="130"/>
      <c r="K235" s="130"/>
    </row>
    <row r="236" spans="1:11" ht="28.5" customHeight="1" x14ac:dyDescent="0.3">
      <c r="A236" s="495" t="s">
        <v>381</v>
      </c>
      <c r="B236" s="496"/>
      <c r="C236" s="496"/>
      <c r="D236" s="496"/>
      <c r="E236" s="496"/>
      <c r="F236" s="496"/>
      <c r="G236" s="496"/>
      <c r="H236" s="496"/>
      <c r="I236" s="496"/>
      <c r="J236" s="496"/>
      <c r="K236" s="497"/>
    </row>
    <row r="237" spans="1:11" ht="28.5" customHeight="1" x14ac:dyDescent="0.3">
      <c r="A237" s="492" t="s">
        <v>269</v>
      </c>
      <c r="B237" s="493"/>
      <c r="C237" s="493"/>
      <c r="D237" s="493"/>
      <c r="E237" s="493"/>
      <c r="F237" s="493"/>
      <c r="G237" s="493"/>
      <c r="H237" s="493"/>
      <c r="I237" s="493"/>
      <c r="J237" s="493"/>
      <c r="K237" s="494"/>
    </row>
    <row r="238" spans="1:11" ht="28.5" customHeight="1" x14ac:dyDescent="0.3">
      <c r="A238" s="258" t="s">
        <v>77</v>
      </c>
      <c r="B238" s="258"/>
      <c r="C238" s="258"/>
      <c r="D238" s="258"/>
      <c r="E238" s="258"/>
      <c r="F238" s="258"/>
      <c r="G238" s="258"/>
      <c r="H238" s="258"/>
      <c r="I238" s="258"/>
      <c r="J238" s="258"/>
      <c r="K238" s="258"/>
    </row>
    <row r="239" spans="1:11" ht="28.5" customHeight="1" x14ac:dyDescent="0.3">
      <c r="A239" s="120" t="s">
        <v>231</v>
      </c>
      <c r="B239" s="119">
        <f>C239+F239+I239</f>
        <v>5058300</v>
      </c>
      <c r="C239" s="119">
        <f>D239+E239</f>
        <v>5058300</v>
      </c>
      <c r="D239" s="119">
        <f>Дод.3!I113*1000</f>
        <v>5058300</v>
      </c>
      <c r="E239" s="119"/>
      <c r="F239" s="119"/>
      <c r="G239" s="119"/>
      <c r="H239" s="119"/>
      <c r="I239" s="119"/>
      <c r="J239" s="119"/>
      <c r="K239" s="119"/>
    </row>
    <row r="240" spans="1:11" ht="28.5" customHeight="1" x14ac:dyDescent="0.3">
      <c r="A240" s="258" t="s">
        <v>116</v>
      </c>
      <c r="B240" s="119"/>
      <c r="C240" s="133"/>
      <c r="D240" s="133"/>
      <c r="E240" s="133"/>
      <c r="F240" s="133"/>
      <c r="G240" s="133"/>
      <c r="H240" s="133"/>
      <c r="I240" s="133"/>
      <c r="J240" s="133"/>
      <c r="K240" s="119"/>
    </row>
    <row r="241" spans="1:11" ht="28.5" customHeight="1" x14ac:dyDescent="0.3">
      <c r="A241" s="120" t="s">
        <v>166</v>
      </c>
      <c r="B241" s="119"/>
      <c r="C241" s="121">
        <v>1</v>
      </c>
      <c r="D241" s="121">
        <v>1</v>
      </c>
      <c r="E241" s="119"/>
      <c r="F241" s="121"/>
      <c r="G241" s="121"/>
      <c r="H241" s="121"/>
      <c r="I241" s="121"/>
      <c r="J241" s="121"/>
      <c r="K241" s="119"/>
    </row>
    <row r="242" spans="1:11" ht="28.5" customHeight="1" x14ac:dyDescent="0.3">
      <c r="A242" s="258" t="s">
        <v>80</v>
      </c>
      <c r="B242" s="119"/>
      <c r="C242" s="121"/>
      <c r="D242" s="121"/>
      <c r="E242" s="121"/>
      <c r="F242" s="121"/>
      <c r="G242" s="121"/>
      <c r="H242" s="121"/>
      <c r="I242" s="121"/>
      <c r="J242" s="121"/>
      <c r="K242" s="119"/>
    </row>
    <row r="243" spans="1:11" ht="28.5" customHeight="1" x14ac:dyDescent="0.3">
      <c r="A243" s="120" t="s">
        <v>221</v>
      </c>
      <c r="B243" s="119"/>
      <c r="C243" s="121">
        <f>C239/C241</f>
        <v>5058300</v>
      </c>
      <c r="D243" s="121">
        <f>D239/D241</f>
        <v>5058300</v>
      </c>
      <c r="E243" s="121"/>
      <c r="F243" s="121"/>
      <c r="G243" s="121"/>
      <c r="H243" s="121"/>
      <c r="I243" s="121"/>
      <c r="J243" s="121"/>
      <c r="K243" s="119"/>
    </row>
    <row r="244" spans="1:11" ht="28.5" customHeight="1" x14ac:dyDescent="0.3">
      <c r="A244" s="258" t="s">
        <v>81</v>
      </c>
      <c r="B244" s="121"/>
      <c r="C244" s="121"/>
      <c r="D244" s="121"/>
      <c r="E244" s="121"/>
      <c r="F244" s="121"/>
      <c r="G244" s="121"/>
      <c r="H244" s="121"/>
      <c r="I244" s="121"/>
      <c r="J244" s="121"/>
      <c r="K244" s="119"/>
    </row>
    <row r="245" spans="1:11" ht="28.5" customHeight="1" x14ac:dyDescent="0.3">
      <c r="A245" s="120" t="s">
        <v>182</v>
      </c>
      <c r="B245" s="121"/>
      <c r="C245" s="121">
        <v>100</v>
      </c>
      <c r="D245" s="121">
        <v>100</v>
      </c>
      <c r="E245" s="121"/>
      <c r="F245" s="121"/>
      <c r="G245" s="121"/>
      <c r="H245" s="121"/>
      <c r="I245" s="121"/>
      <c r="J245" s="121"/>
      <c r="K245" s="119"/>
    </row>
    <row r="246" spans="1:11" ht="75.75" customHeight="1" x14ac:dyDescent="0.3">
      <c r="A246" s="120" t="s">
        <v>213</v>
      </c>
      <c r="B246" s="121"/>
      <c r="C246" s="121">
        <f>D246</f>
        <v>129.42260421829212</v>
      </c>
      <c r="D246" s="121">
        <f>D239/3908359*100</f>
        <v>129.42260421829212</v>
      </c>
      <c r="E246" s="121"/>
      <c r="F246" s="121"/>
      <c r="G246" s="121"/>
      <c r="H246" s="121"/>
      <c r="I246" s="121"/>
      <c r="J246" s="121"/>
      <c r="K246" s="119"/>
    </row>
    <row r="247" spans="1:11" ht="32.25" customHeight="1" x14ac:dyDescent="0.3">
      <c r="A247" s="492" t="s">
        <v>543</v>
      </c>
      <c r="B247" s="493"/>
      <c r="C247" s="493"/>
      <c r="D247" s="493"/>
      <c r="E247" s="493"/>
      <c r="F247" s="493"/>
      <c r="G247" s="493"/>
      <c r="H247" s="493"/>
      <c r="I247" s="493"/>
      <c r="J247" s="493"/>
      <c r="K247" s="494"/>
    </row>
    <row r="248" spans="1:11" ht="38.25" customHeight="1" x14ac:dyDescent="0.3">
      <c r="A248" s="258" t="s">
        <v>77</v>
      </c>
      <c r="B248" s="121"/>
      <c r="C248" s="121"/>
      <c r="D248" s="121"/>
      <c r="E248" s="121"/>
      <c r="F248" s="121"/>
      <c r="G248" s="121"/>
      <c r="H248" s="121"/>
      <c r="I248" s="121"/>
      <c r="J248" s="121"/>
      <c r="K248" s="119"/>
    </row>
    <row r="249" spans="1:11" ht="42" customHeight="1" x14ac:dyDescent="0.3">
      <c r="A249" s="120" t="s">
        <v>231</v>
      </c>
      <c r="B249" s="119">
        <f>F249+I249</f>
        <v>11184800</v>
      </c>
      <c r="C249" s="119"/>
      <c r="D249" s="119"/>
      <c r="E249" s="119"/>
      <c r="F249" s="119">
        <f>G249</f>
        <v>5512000</v>
      </c>
      <c r="G249" s="119">
        <f>Дод.3!J114*1000</f>
        <v>5512000</v>
      </c>
      <c r="H249" s="119"/>
      <c r="I249" s="119">
        <f>J249</f>
        <v>5672800</v>
      </c>
      <c r="J249" s="119">
        <f>Дод.3!K114*1000</f>
        <v>5672800</v>
      </c>
      <c r="K249" s="119"/>
    </row>
    <row r="250" spans="1:11" ht="42" customHeight="1" x14ac:dyDescent="0.3">
      <c r="A250" s="258" t="s">
        <v>116</v>
      </c>
      <c r="B250" s="121"/>
      <c r="C250" s="121"/>
      <c r="D250" s="121"/>
      <c r="E250" s="121"/>
      <c r="F250" s="121"/>
      <c r="G250" s="121"/>
      <c r="H250" s="121"/>
      <c r="I250" s="121"/>
      <c r="J250" s="121"/>
      <c r="K250" s="119"/>
    </row>
    <row r="251" spans="1:11" ht="42" customHeight="1" x14ac:dyDescent="0.3">
      <c r="A251" s="120" t="s">
        <v>166</v>
      </c>
      <c r="B251" s="121"/>
      <c r="C251" s="121"/>
      <c r="D251" s="121"/>
      <c r="E251" s="121"/>
      <c r="F251" s="121">
        <f t="shared" ref="F251:F256" si="5">G251</f>
        <v>1</v>
      </c>
      <c r="G251" s="121">
        <v>1</v>
      </c>
      <c r="H251" s="121"/>
      <c r="I251" s="121">
        <f t="shared" ref="I251:I256" si="6">J251</f>
        <v>1</v>
      </c>
      <c r="J251" s="121">
        <v>1</v>
      </c>
      <c r="K251" s="119"/>
    </row>
    <row r="252" spans="1:11" ht="42" customHeight="1" x14ac:dyDescent="0.3">
      <c r="A252" s="258" t="s">
        <v>80</v>
      </c>
      <c r="B252" s="121"/>
      <c r="C252" s="121"/>
      <c r="D252" s="121"/>
      <c r="E252" s="121"/>
      <c r="F252" s="121"/>
      <c r="G252" s="121"/>
      <c r="H252" s="121"/>
      <c r="I252" s="121"/>
      <c r="J252" s="121"/>
      <c r="K252" s="119"/>
    </row>
    <row r="253" spans="1:11" ht="42" customHeight="1" x14ac:dyDescent="0.3">
      <c r="A253" s="120" t="s">
        <v>221</v>
      </c>
      <c r="B253" s="121"/>
      <c r="C253" s="121"/>
      <c r="D253" s="121"/>
      <c r="E253" s="121"/>
      <c r="F253" s="121">
        <f t="shared" si="5"/>
        <v>5512000</v>
      </c>
      <c r="G253" s="121">
        <f>G249/G251</f>
        <v>5512000</v>
      </c>
      <c r="H253" s="121"/>
      <c r="I253" s="121">
        <f t="shared" si="6"/>
        <v>5672800</v>
      </c>
      <c r="J253" s="121">
        <f>J249/J251</f>
        <v>5672800</v>
      </c>
      <c r="K253" s="119"/>
    </row>
    <row r="254" spans="1:11" ht="42" customHeight="1" x14ac:dyDescent="0.3">
      <c r="A254" s="258" t="s">
        <v>81</v>
      </c>
      <c r="B254" s="121"/>
      <c r="C254" s="121"/>
      <c r="D254" s="121"/>
      <c r="E254" s="121"/>
      <c r="F254" s="121"/>
      <c r="G254" s="121"/>
      <c r="H254" s="121"/>
      <c r="I254" s="121"/>
      <c r="J254" s="121"/>
      <c r="K254" s="119"/>
    </row>
    <row r="255" spans="1:11" ht="42" customHeight="1" x14ac:dyDescent="0.3">
      <c r="A255" s="120" t="s">
        <v>182</v>
      </c>
      <c r="B255" s="121"/>
      <c r="C255" s="121"/>
      <c r="D255" s="121"/>
      <c r="E255" s="121"/>
      <c r="F255" s="121">
        <f t="shared" si="5"/>
        <v>100</v>
      </c>
      <c r="G255" s="121">
        <v>100</v>
      </c>
      <c r="H255" s="121"/>
      <c r="I255" s="121">
        <f t="shared" si="6"/>
        <v>100</v>
      </c>
      <c r="J255" s="121">
        <v>100</v>
      </c>
      <c r="K255" s="119"/>
    </row>
    <row r="256" spans="1:11" ht="48" customHeight="1" x14ac:dyDescent="0.3">
      <c r="A256" s="120" t="s">
        <v>213</v>
      </c>
      <c r="B256" s="121"/>
      <c r="C256" s="121"/>
      <c r="D256" s="121"/>
      <c r="E256" s="121"/>
      <c r="F256" s="121">
        <f t="shared" si="5"/>
        <v>108.96941660241583</v>
      </c>
      <c r="G256" s="121">
        <f>G249/D239*100</f>
        <v>108.96941660241583</v>
      </c>
      <c r="H256" s="121"/>
      <c r="I256" s="121">
        <f t="shared" si="6"/>
        <v>102.91727140783745</v>
      </c>
      <c r="J256" s="121">
        <f>J249/G249*100</f>
        <v>102.91727140783745</v>
      </c>
      <c r="K256" s="119"/>
    </row>
    <row r="257" spans="1:11" ht="30.75" customHeight="1" x14ac:dyDescent="0.3">
      <c r="A257" s="495" t="s">
        <v>454</v>
      </c>
      <c r="B257" s="496"/>
      <c r="C257" s="496"/>
      <c r="D257" s="496"/>
      <c r="E257" s="496"/>
      <c r="F257" s="496"/>
      <c r="G257" s="496"/>
      <c r="H257" s="496"/>
      <c r="I257" s="496"/>
      <c r="J257" s="496"/>
      <c r="K257" s="497"/>
    </row>
    <row r="258" spans="1:11" ht="48" customHeight="1" x14ac:dyDescent="0.3">
      <c r="A258" s="258" t="s">
        <v>77</v>
      </c>
      <c r="B258" s="121"/>
      <c r="C258" s="121"/>
      <c r="D258" s="121"/>
      <c r="E258" s="121"/>
      <c r="F258" s="121"/>
      <c r="G258" s="121"/>
      <c r="H258" s="121"/>
      <c r="I258" s="121"/>
      <c r="J258" s="121"/>
      <c r="K258" s="119"/>
    </row>
    <row r="259" spans="1:11" ht="48" customHeight="1" x14ac:dyDescent="0.3">
      <c r="A259" s="120" t="s">
        <v>211</v>
      </c>
      <c r="B259" s="119">
        <f>C259</f>
        <v>67300</v>
      </c>
      <c r="C259" s="119">
        <f>D259</f>
        <v>67300</v>
      </c>
      <c r="D259" s="119">
        <f>Дод.3!I116*1000</f>
        <v>67300</v>
      </c>
      <c r="E259" s="121"/>
      <c r="F259" s="121"/>
      <c r="G259" s="121"/>
      <c r="H259" s="121"/>
      <c r="I259" s="121"/>
      <c r="J259" s="121"/>
      <c r="K259" s="119"/>
    </row>
    <row r="260" spans="1:11" ht="48" customHeight="1" x14ac:dyDescent="0.3">
      <c r="A260" s="258" t="s">
        <v>79</v>
      </c>
      <c r="B260" s="121"/>
      <c r="C260" s="121"/>
      <c r="D260" s="121"/>
      <c r="E260" s="121"/>
      <c r="F260" s="121"/>
      <c r="G260" s="121"/>
      <c r="H260" s="121"/>
      <c r="I260" s="121"/>
      <c r="J260" s="121"/>
      <c r="K260" s="119"/>
    </row>
    <row r="261" spans="1:11" ht="48" customHeight="1" x14ac:dyDescent="0.3">
      <c r="A261" s="120" t="s">
        <v>198</v>
      </c>
      <c r="B261" s="121"/>
      <c r="C261" s="121">
        <f>D261</f>
        <v>1</v>
      </c>
      <c r="D261" s="121">
        <v>1</v>
      </c>
      <c r="E261" s="121"/>
      <c r="F261" s="121"/>
      <c r="G261" s="121"/>
      <c r="H261" s="121"/>
      <c r="I261" s="121"/>
      <c r="J261" s="121"/>
      <c r="K261" s="119"/>
    </row>
    <row r="262" spans="1:11" ht="48" customHeight="1" x14ac:dyDescent="0.3">
      <c r="A262" s="258" t="s">
        <v>80</v>
      </c>
      <c r="B262" s="121"/>
      <c r="C262" s="121"/>
      <c r="D262" s="121"/>
      <c r="E262" s="121"/>
      <c r="F262" s="121"/>
      <c r="G262" s="121"/>
      <c r="H262" s="121"/>
      <c r="I262" s="121"/>
      <c r="J262" s="121"/>
      <c r="K262" s="119"/>
    </row>
    <row r="263" spans="1:11" ht="48" customHeight="1" x14ac:dyDescent="0.3">
      <c r="A263" s="120" t="s">
        <v>223</v>
      </c>
      <c r="B263" s="121"/>
      <c r="C263" s="121">
        <f>D263</f>
        <v>67300</v>
      </c>
      <c r="D263" s="121">
        <f>D259/D261</f>
        <v>67300</v>
      </c>
      <c r="E263" s="121"/>
      <c r="F263" s="121"/>
      <c r="G263" s="121"/>
      <c r="H263" s="121"/>
      <c r="I263" s="121"/>
      <c r="J263" s="121"/>
      <c r="K263" s="119"/>
    </row>
    <row r="264" spans="1:11" ht="28.5" customHeight="1" x14ac:dyDescent="0.3">
      <c r="A264" s="495" t="s">
        <v>270</v>
      </c>
      <c r="B264" s="496"/>
      <c r="C264" s="496"/>
      <c r="D264" s="496"/>
      <c r="E264" s="496"/>
      <c r="F264" s="496"/>
      <c r="G264" s="496"/>
      <c r="H264" s="496"/>
      <c r="I264" s="496"/>
      <c r="J264" s="496"/>
      <c r="K264" s="497"/>
    </row>
    <row r="265" spans="1:11" ht="28.5" customHeight="1" x14ac:dyDescent="0.3">
      <c r="A265" s="492" t="s">
        <v>508</v>
      </c>
      <c r="B265" s="493"/>
      <c r="C265" s="493"/>
      <c r="D265" s="493"/>
      <c r="E265" s="493"/>
      <c r="F265" s="493"/>
      <c r="G265" s="493"/>
      <c r="H265" s="493"/>
      <c r="I265" s="493"/>
      <c r="J265" s="493"/>
      <c r="K265" s="494"/>
    </row>
    <row r="266" spans="1:11" ht="28.5" customHeight="1" x14ac:dyDescent="0.3">
      <c r="A266" s="258" t="s">
        <v>77</v>
      </c>
      <c r="B266" s="258"/>
      <c r="C266" s="258"/>
      <c r="D266" s="258"/>
      <c r="E266" s="258"/>
      <c r="F266" s="258"/>
      <c r="G266" s="258"/>
      <c r="H266" s="258"/>
      <c r="I266" s="258"/>
      <c r="J266" s="258"/>
      <c r="K266" s="258"/>
    </row>
    <row r="267" spans="1:11" ht="28.5" customHeight="1" x14ac:dyDescent="0.3">
      <c r="A267" s="120" t="s">
        <v>231</v>
      </c>
      <c r="B267" s="119">
        <f>C267+F267+I267</f>
        <v>11493100</v>
      </c>
      <c r="C267" s="119">
        <f>D267+E267</f>
        <v>11493100</v>
      </c>
      <c r="D267" s="119">
        <f>Дод.3!I120*1000</f>
        <v>11493100</v>
      </c>
      <c r="E267" s="119"/>
      <c r="F267" s="119"/>
      <c r="G267" s="119"/>
      <c r="H267" s="119"/>
      <c r="I267" s="119"/>
      <c r="J267" s="119"/>
      <c r="K267" s="119"/>
    </row>
    <row r="268" spans="1:11" ht="28.5" customHeight="1" x14ac:dyDescent="0.3">
      <c r="A268" s="120" t="s">
        <v>166</v>
      </c>
      <c r="B268" s="119"/>
      <c r="C268" s="121">
        <v>1</v>
      </c>
      <c r="D268" s="121">
        <v>1</v>
      </c>
      <c r="E268" s="121"/>
      <c r="F268" s="121"/>
      <c r="G268" s="121"/>
      <c r="H268" s="121"/>
      <c r="I268" s="121"/>
      <c r="J268" s="121"/>
      <c r="K268" s="121"/>
    </row>
    <row r="269" spans="1:11" ht="28.5" customHeight="1" x14ac:dyDescent="0.3">
      <c r="A269" s="120" t="s">
        <v>171</v>
      </c>
      <c r="B269" s="119"/>
      <c r="C269" s="22">
        <f>D269</f>
        <v>63.5</v>
      </c>
      <c r="D269" s="22">
        <v>63.5</v>
      </c>
      <c r="E269" s="121"/>
      <c r="F269" s="22"/>
      <c r="G269" s="22"/>
      <c r="H269" s="121"/>
      <c r="I269" s="22"/>
      <c r="J269" s="22"/>
      <c r="K269" s="121"/>
    </row>
    <row r="270" spans="1:11" ht="28.5" customHeight="1" x14ac:dyDescent="0.3">
      <c r="A270" s="120" t="s">
        <v>199</v>
      </c>
      <c r="B270" s="119"/>
      <c r="C270" s="22">
        <f>D270</f>
        <v>22.5</v>
      </c>
      <c r="D270" s="22">
        <v>22.5</v>
      </c>
      <c r="E270" s="121"/>
      <c r="F270" s="22"/>
      <c r="G270" s="22"/>
      <c r="H270" s="121"/>
      <c r="I270" s="22"/>
      <c r="J270" s="22"/>
      <c r="K270" s="121"/>
    </row>
    <row r="271" spans="1:11" ht="28.5" customHeight="1" x14ac:dyDescent="0.3">
      <c r="A271" s="258" t="s">
        <v>116</v>
      </c>
      <c r="B271" s="119"/>
      <c r="C271" s="22"/>
      <c r="D271" s="134"/>
      <c r="E271" s="121"/>
      <c r="F271" s="121"/>
      <c r="G271" s="121"/>
      <c r="H271" s="121"/>
      <c r="I271" s="121"/>
      <c r="J271" s="121"/>
      <c r="K271" s="121"/>
    </row>
    <row r="272" spans="1:11" ht="28.5" customHeight="1" x14ac:dyDescent="0.3">
      <c r="A272" s="120" t="s">
        <v>167</v>
      </c>
      <c r="B272" s="119"/>
      <c r="C272" s="121">
        <f>D272</f>
        <v>32550</v>
      </c>
      <c r="D272" s="121">
        <v>32550</v>
      </c>
      <c r="E272" s="121"/>
      <c r="F272" s="121"/>
      <c r="G272" s="121"/>
      <c r="H272" s="121"/>
      <c r="I272" s="121"/>
      <c r="J272" s="121"/>
      <c r="K272" s="121"/>
    </row>
    <row r="273" spans="1:11" ht="28.5" customHeight="1" x14ac:dyDescent="0.3">
      <c r="A273" s="120" t="s">
        <v>200</v>
      </c>
      <c r="B273" s="119"/>
      <c r="C273" s="121">
        <f>D273</f>
        <v>8600</v>
      </c>
      <c r="D273" s="121">
        <v>8600</v>
      </c>
      <c r="E273" s="121"/>
      <c r="F273" s="121"/>
      <c r="G273" s="121"/>
      <c r="H273" s="121"/>
      <c r="I273" s="121"/>
      <c r="J273" s="121"/>
      <c r="K273" s="121"/>
    </row>
    <row r="274" spans="1:11" ht="28.5" customHeight="1" x14ac:dyDescent="0.3">
      <c r="A274" s="120" t="s">
        <v>175</v>
      </c>
      <c r="B274" s="119"/>
      <c r="C274" s="121"/>
      <c r="D274" s="121"/>
      <c r="E274" s="121"/>
      <c r="F274" s="121"/>
      <c r="G274" s="121"/>
      <c r="H274" s="121"/>
      <c r="I274" s="121"/>
      <c r="J274" s="121"/>
      <c r="K274" s="121"/>
    </row>
    <row r="275" spans="1:11" ht="28.5" customHeight="1" x14ac:dyDescent="0.3">
      <c r="A275" s="258" t="s">
        <v>115</v>
      </c>
      <c r="B275" s="121"/>
      <c r="C275" s="22"/>
      <c r="D275" s="121"/>
      <c r="E275" s="121"/>
      <c r="F275" s="121"/>
      <c r="G275" s="121"/>
      <c r="H275" s="121"/>
      <c r="I275" s="121"/>
      <c r="J275" s="121"/>
      <c r="K275" s="119"/>
    </row>
    <row r="276" spans="1:11" ht="39.75" customHeight="1" x14ac:dyDescent="0.3">
      <c r="A276" s="120" t="s">
        <v>290</v>
      </c>
      <c r="B276" s="121"/>
      <c r="C276" s="121">
        <f>D276</f>
        <v>382</v>
      </c>
      <c r="D276" s="121">
        <v>382</v>
      </c>
      <c r="E276" s="121"/>
      <c r="F276" s="121"/>
      <c r="G276" s="121"/>
      <c r="H276" s="121"/>
      <c r="I276" s="121"/>
      <c r="J276" s="121"/>
      <c r="K276" s="119"/>
    </row>
    <row r="277" spans="1:11" ht="45.75" customHeight="1" x14ac:dyDescent="0.3">
      <c r="A277" s="120" t="s">
        <v>233</v>
      </c>
      <c r="B277" s="121"/>
      <c r="C277" s="121">
        <f>C272/C270</f>
        <v>1446.6666666666667</v>
      </c>
      <c r="D277" s="121">
        <f>D272/D270</f>
        <v>1446.6666666666667</v>
      </c>
      <c r="E277" s="121"/>
      <c r="F277" s="121"/>
      <c r="G277" s="121"/>
      <c r="H277" s="121"/>
      <c r="I277" s="121"/>
      <c r="J277" s="121"/>
      <c r="K277" s="119"/>
    </row>
    <row r="278" spans="1:11" ht="53.25" customHeight="1" x14ac:dyDescent="0.3">
      <c r="A278" s="120" t="s">
        <v>232</v>
      </c>
      <c r="B278" s="121"/>
      <c r="C278" s="121">
        <f>D278</f>
        <v>353</v>
      </c>
      <c r="D278" s="121">
        <v>353</v>
      </c>
      <c r="E278" s="121"/>
      <c r="F278" s="121"/>
      <c r="G278" s="121"/>
      <c r="H278" s="121"/>
      <c r="I278" s="121"/>
      <c r="J278" s="121"/>
      <c r="K278" s="119"/>
    </row>
    <row r="279" spans="1:11" ht="38.25" customHeight="1" x14ac:dyDescent="0.3">
      <c r="A279" s="495" t="s">
        <v>457</v>
      </c>
      <c r="B279" s="496"/>
      <c r="C279" s="496"/>
      <c r="D279" s="496"/>
      <c r="E279" s="496"/>
      <c r="F279" s="496"/>
      <c r="G279" s="496"/>
      <c r="H279" s="496"/>
      <c r="I279" s="496"/>
      <c r="J279" s="496"/>
      <c r="K279" s="497"/>
    </row>
    <row r="280" spans="1:11" ht="38.25" customHeight="1" x14ac:dyDescent="0.3">
      <c r="A280" s="258" t="s">
        <v>77</v>
      </c>
      <c r="B280" s="121"/>
      <c r="C280" s="121"/>
      <c r="D280" s="121"/>
      <c r="E280" s="121"/>
      <c r="F280" s="121"/>
      <c r="G280" s="121"/>
      <c r="H280" s="121"/>
      <c r="I280" s="121"/>
      <c r="J280" s="121"/>
      <c r="K280" s="119"/>
    </row>
    <row r="281" spans="1:11" ht="30.75" customHeight="1" x14ac:dyDescent="0.3">
      <c r="A281" s="120" t="s">
        <v>231</v>
      </c>
      <c r="B281" s="119">
        <f>F281+I281</f>
        <v>20140200</v>
      </c>
      <c r="C281" s="119"/>
      <c r="D281" s="119"/>
      <c r="E281" s="119"/>
      <c r="F281" s="119">
        <f>G281</f>
        <v>11836100</v>
      </c>
      <c r="G281" s="119">
        <f>Дод.3!J121*1000</f>
        <v>11836100</v>
      </c>
      <c r="H281" s="119"/>
      <c r="I281" s="119">
        <f>J281</f>
        <v>8304100</v>
      </c>
      <c r="J281" s="119">
        <f>Дод.3!K121*1000</f>
        <v>8304100</v>
      </c>
      <c r="K281" s="119"/>
    </row>
    <row r="282" spans="1:11" ht="30.75" customHeight="1" x14ac:dyDescent="0.3">
      <c r="A282" s="120" t="s">
        <v>166</v>
      </c>
      <c r="B282" s="121"/>
      <c r="C282" s="121"/>
      <c r="D282" s="121"/>
      <c r="E282" s="121"/>
      <c r="F282" s="121">
        <f t="shared" ref="F282:F292" si="7">G282</f>
        <v>1</v>
      </c>
      <c r="G282" s="121">
        <v>1</v>
      </c>
      <c r="H282" s="121"/>
      <c r="I282" s="121">
        <f t="shared" ref="I282:I292" si="8">J282</f>
        <v>1</v>
      </c>
      <c r="J282" s="121">
        <v>1</v>
      </c>
      <c r="K282" s="119"/>
    </row>
    <row r="283" spans="1:11" ht="28.5" customHeight="1" x14ac:dyDescent="0.3">
      <c r="A283" s="120" t="s">
        <v>171</v>
      </c>
      <c r="B283" s="121"/>
      <c r="C283" s="121"/>
      <c r="D283" s="121"/>
      <c r="E283" s="121"/>
      <c r="F283" s="121">
        <f t="shared" si="7"/>
        <v>63.5</v>
      </c>
      <c r="G283" s="22">
        <v>63.5</v>
      </c>
      <c r="H283" s="121"/>
      <c r="I283" s="121">
        <f t="shared" si="8"/>
        <v>63.5</v>
      </c>
      <c r="J283" s="22">
        <v>63.5</v>
      </c>
      <c r="K283" s="119"/>
    </row>
    <row r="284" spans="1:11" ht="39.75" customHeight="1" x14ac:dyDescent="0.3">
      <c r="A284" s="120" t="s">
        <v>199</v>
      </c>
      <c r="B284" s="121"/>
      <c r="C284" s="121"/>
      <c r="D284" s="121"/>
      <c r="E284" s="121"/>
      <c r="F284" s="121">
        <f t="shared" si="7"/>
        <v>21</v>
      </c>
      <c r="G284" s="22">
        <v>21</v>
      </c>
      <c r="H284" s="121"/>
      <c r="I284" s="121">
        <f t="shared" si="8"/>
        <v>22.5</v>
      </c>
      <c r="J284" s="22">
        <v>22.5</v>
      </c>
      <c r="K284" s="119"/>
    </row>
    <row r="285" spans="1:11" ht="39.75" customHeight="1" x14ac:dyDescent="0.3">
      <c r="A285" s="258" t="s">
        <v>116</v>
      </c>
      <c r="B285" s="121"/>
      <c r="C285" s="121"/>
      <c r="D285" s="121"/>
      <c r="E285" s="121"/>
      <c r="F285" s="121"/>
      <c r="G285" s="121"/>
      <c r="H285" s="121"/>
      <c r="I285" s="121"/>
      <c r="J285" s="121"/>
      <c r="K285" s="119"/>
    </row>
    <row r="286" spans="1:11" ht="34.5" customHeight="1" x14ac:dyDescent="0.3">
      <c r="A286" s="120" t="s">
        <v>167</v>
      </c>
      <c r="B286" s="121"/>
      <c r="C286" s="121"/>
      <c r="D286" s="121"/>
      <c r="E286" s="121"/>
      <c r="F286" s="121">
        <f t="shared" si="7"/>
        <v>23274</v>
      </c>
      <c r="G286" s="121">
        <v>23274</v>
      </c>
      <c r="H286" s="121"/>
      <c r="I286" s="121">
        <f t="shared" si="8"/>
        <v>33000</v>
      </c>
      <c r="J286" s="121">
        <v>33000</v>
      </c>
      <c r="K286" s="119"/>
    </row>
    <row r="287" spans="1:11" ht="36" customHeight="1" x14ac:dyDescent="0.3">
      <c r="A287" s="120" t="s">
        <v>200</v>
      </c>
      <c r="B287" s="121"/>
      <c r="C287" s="121"/>
      <c r="D287" s="121"/>
      <c r="E287" s="121"/>
      <c r="F287" s="121">
        <f t="shared" si="7"/>
        <v>8700</v>
      </c>
      <c r="G287" s="121">
        <v>8700</v>
      </c>
      <c r="H287" s="121"/>
      <c r="I287" s="121">
        <f t="shared" si="8"/>
        <v>8790</v>
      </c>
      <c r="J287" s="121">
        <v>8790</v>
      </c>
      <c r="K287" s="119"/>
    </row>
    <row r="288" spans="1:11" ht="34.5" customHeight="1" x14ac:dyDescent="0.3">
      <c r="A288" s="120" t="s">
        <v>175</v>
      </c>
      <c r="B288" s="121"/>
      <c r="C288" s="121"/>
      <c r="D288" s="121"/>
      <c r="E288" s="121"/>
      <c r="F288" s="121"/>
      <c r="G288" s="121"/>
      <c r="H288" s="121"/>
      <c r="I288" s="121"/>
      <c r="J288" s="121"/>
      <c r="K288" s="119"/>
    </row>
    <row r="289" spans="1:11" ht="27" customHeight="1" x14ac:dyDescent="0.3">
      <c r="A289" s="258" t="s">
        <v>115</v>
      </c>
      <c r="B289" s="121"/>
      <c r="C289" s="121"/>
      <c r="D289" s="121"/>
      <c r="E289" s="121"/>
      <c r="F289" s="121"/>
      <c r="G289" s="121"/>
      <c r="H289" s="121"/>
      <c r="I289" s="121">
        <f t="shared" si="8"/>
        <v>0</v>
      </c>
      <c r="J289" s="121"/>
      <c r="K289" s="119"/>
    </row>
    <row r="290" spans="1:11" ht="53.25" customHeight="1" x14ac:dyDescent="0.3">
      <c r="A290" s="120" t="s">
        <v>290</v>
      </c>
      <c r="B290" s="121"/>
      <c r="C290" s="121"/>
      <c r="D290" s="121"/>
      <c r="E290" s="121"/>
      <c r="F290" s="121">
        <f t="shared" si="7"/>
        <v>414</v>
      </c>
      <c r="G290" s="121">
        <v>414</v>
      </c>
      <c r="H290" s="121"/>
      <c r="I290" s="121">
        <f t="shared" si="8"/>
        <v>391</v>
      </c>
      <c r="J290" s="121">
        <v>391</v>
      </c>
      <c r="K290" s="119"/>
    </row>
    <row r="291" spans="1:11" ht="53.25" customHeight="1" x14ac:dyDescent="0.3">
      <c r="A291" s="120" t="s">
        <v>233</v>
      </c>
      <c r="B291" s="121"/>
      <c r="C291" s="121"/>
      <c r="D291" s="121"/>
      <c r="E291" s="121"/>
      <c r="F291" s="121">
        <f t="shared" si="7"/>
        <v>1108.2857142857142</v>
      </c>
      <c r="G291" s="121">
        <f>G286/G284</f>
        <v>1108.2857142857142</v>
      </c>
      <c r="H291" s="121"/>
      <c r="I291" s="121">
        <f t="shared" si="8"/>
        <v>1467</v>
      </c>
      <c r="J291" s="121">
        <v>1467</v>
      </c>
      <c r="K291" s="119"/>
    </row>
    <row r="292" spans="1:11" ht="53.25" customHeight="1" x14ac:dyDescent="0.3">
      <c r="A292" s="120" t="s">
        <v>232</v>
      </c>
      <c r="B292" s="121"/>
      <c r="C292" s="121"/>
      <c r="D292" s="121"/>
      <c r="E292" s="121"/>
      <c r="F292" s="121">
        <f t="shared" si="7"/>
        <v>509</v>
      </c>
      <c r="G292" s="121">
        <v>509</v>
      </c>
      <c r="H292" s="121"/>
      <c r="I292" s="121">
        <f t="shared" si="8"/>
        <v>282</v>
      </c>
      <c r="J292" s="121">
        <v>282</v>
      </c>
      <c r="K292" s="119"/>
    </row>
    <row r="293" spans="1:11" ht="28.5" customHeight="1" x14ac:dyDescent="0.3">
      <c r="A293" s="492" t="s">
        <v>458</v>
      </c>
      <c r="B293" s="493"/>
      <c r="C293" s="493"/>
      <c r="D293" s="493"/>
      <c r="E293" s="493"/>
      <c r="F293" s="493"/>
      <c r="G293" s="493"/>
      <c r="H293" s="493"/>
      <c r="I293" s="493"/>
      <c r="J293" s="493"/>
      <c r="K293" s="494"/>
    </row>
    <row r="294" spans="1:11" ht="28.5" customHeight="1" x14ac:dyDescent="0.3">
      <c r="A294" s="258" t="s">
        <v>77</v>
      </c>
      <c r="B294" s="265"/>
      <c r="C294" s="265"/>
      <c r="D294" s="265"/>
      <c r="E294" s="265"/>
      <c r="F294" s="265"/>
      <c r="G294" s="265"/>
      <c r="H294" s="265"/>
      <c r="I294" s="265"/>
      <c r="J294" s="265"/>
      <c r="K294" s="265"/>
    </row>
    <row r="295" spans="1:11" ht="28.5" customHeight="1" x14ac:dyDescent="0.3">
      <c r="A295" s="120" t="s">
        <v>165</v>
      </c>
      <c r="B295" s="122">
        <f>C295+F295+I295</f>
        <v>895600</v>
      </c>
      <c r="C295" s="122">
        <f>D295+E295</f>
        <v>895600</v>
      </c>
      <c r="D295" s="122">
        <f>Дод.3!I122*1000</f>
        <v>895600</v>
      </c>
      <c r="E295" s="122"/>
      <c r="F295" s="122"/>
      <c r="G295" s="122"/>
      <c r="H295" s="122"/>
      <c r="I295" s="122"/>
      <c r="J295" s="122"/>
      <c r="K295" s="124"/>
    </row>
    <row r="296" spans="1:11" ht="28.5" customHeight="1" x14ac:dyDescent="0.3">
      <c r="A296" s="258" t="s">
        <v>116</v>
      </c>
      <c r="B296" s="124"/>
      <c r="C296" s="124"/>
      <c r="D296" s="124"/>
      <c r="E296" s="124"/>
      <c r="F296" s="124"/>
      <c r="G296" s="124"/>
      <c r="H296" s="124"/>
      <c r="I296" s="124"/>
      <c r="J296" s="124"/>
      <c r="K296" s="124"/>
    </row>
    <row r="297" spans="1:11" ht="28.5" customHeight="1" x14ac:dyDescent="0.3">
      <c r="A297" s="120" t="s">
        <v>166</v>
      </c>
      <c r="B297" s="124"/>
      <c r="C297" s="124">
        <v>1</v>
      </c>
      <c r="D297" s="124">
        <v>1</v>
      </c>
      <c r="E297" s="124"/>
      <c r="F297" s="124"/>
      <c r="G297" s="124"/>
      <c r="H297" s="124"/>
      <c r="I297" s="124"/>
      <c r="J297" s="124"/>
      <c r="K297" s="124"/>
    </row>
    <row r="298" spans="1:11" ht="28.5" customHeight="1" x14ac:dyDescent="0.3">
      <c r="A298" s="258" t="s">
        <v>80</v>
      </c>
      <c r="B298" s="124"/>
      <c r="C298" s="124"/>
      <c r="D298" s="124"/>
      <c r="E298" s="124"/>
      <c r="F298" s="124"/>
      <c r="G298" s="124"/>
      <c r="H298" s="124"/>
      <c r="I298" s="124"/>
      <c r="J298" s="124"/>
      <c r="K298" s="124"/>
    </row>
    <row r="299" spans="1:11" ht="28.5" customHeight="1" x14ac:dyDescent="0.3">
      <c r="A299" s="120" t="s">
        <v>221</v>
      </c>
      <c r="B299" s="124"/>
      <c r="C299" s="124">
        <f>C295/C297</f>
        <v>895600</v>
      </c>
      <c r="D299" s="124">
        <f>D295/D297</f>
        <v>895600</v>
      </c>
      <c r="E299" s="124"/>
      <c r="F299" s="124"/>
      <c r="G299" s="124"/>
      <c r="H299" s="124"/>
      <c r="I299" s="124"/>
      <c r="J299" s="124"/>
      <c r="K299" s="124"/>
    </row>
    <row r="300" spans="1:11" ht="28.5" customHeight="1" x14ac:dyDescent="0.3">
      <c r="A300" s="258" t="s">
        <v>81</v>
      </c>
      <c r="B300" s="124"/>
      <c r="C300" s="124"/>
      <c r="D300" s="124"/>
      <c r="E300" s="124"/>
      <c r="F300" s="124"/>
      <c r="G300" s="124"/>
      <c r="H300" s="124"/>
      <c r="I300" s="124"/>
      <c r="J300" s="124"/>
      <c r="K300" s="124"/>
    </row>
    <row r="301" spans="1:11" ht="28.5" customHeight="1" x14ac:dyDescent="0.3">
      <c r="A301" s="120" t="s">
        <v>182</v>
      </c>
      <c r="B301" s="124"/>
      <c r="C301" s="124">
        <v>100</v>
      </c>
      <c r="D301" s="124">
        <v>100</v>
      </c>
      <c r="E301" s="124"/>
      <c r="F301" s="124"/>
      <c r="G301" s="124"/>
      <c r="H301" s="124"/>
      <c r="I301" s="124"/>
      <c r="J301" s="124"/>
      <c r="K301" s="124"/>
    </row>
    <row r="302" spans="1:11" ht="70.5" customHeight="1" x14ac:dyDescent="0.3">
      <c r="A302" s="120" t="s">
        <v>291</v>
      </c>
      <c r="B302" s="124"/>
      <c r="C302" s="124">
        <f>D302</f>
        <v>150.31738518913875</v>
      </c>
      <c r="D302" s="124">
        <f>D295/595806*100</f>
        <v>150.31738518913875</v>
      </c>
      <c r="E302" s="124"/>
      <c r="F302" s="124"/>
      <c r="G302" s="124"/>
      <c r="H302" s="124"/>
      <c r="I302" s="124"/>
      <c r="J302" s="124"/>
      <c r="K302" s="124"/>
    </row>
    <row r="303" spans="1:11" ht="38.25" customHeight="1" x14ac:dyDescent="0.3">
      <c r="A303" s="495" t="s">
        <v>459</v>
      </c>
      <c r="B303" s="496"/>
      <c r="C303" s="496"/>
      <c r="D303" s="496"/>
      <c r="E303" s="496"/>
      <c r="F303" s="496"/>
      <c r="G303" s="496"/>
      <c r="H303" s="496"/>
      <c r="I303" s="496"/>
      <c r="J303" s="496"/>
      <c r="K303" s="497"/>
    </row>
    <row r="304" spans="1:11" ht="36" customHeight="1" x14ac:dyDescent="0.3">
      <c r="A304" s="258" t="s">
        <v>77</v>
      </c>
      <c r="B304" s="122"/>
      <c r="C304" s="122"/>
      <c r="D304" s="122"/>
      <c r="E304" s="122"/>
      <c r="F304" s="122"/>
      <c r="G304" s="122"/>
      <c r="H304" s="122"/>
      <c r="I304" s="122"/>
      <c r="J304" s="122"/>
      <c r="K304" s="124"/>
    </row>
    <row r="305" spans="1:11" ht="34.5" customHeight="1" x14ac:dyDescent="0.3">
      <c r="A305" s="120" t="s">
        <v>165</v>
      </c>
      <c r="B305" s="122">
        <f>F305+I305</f>
        <v>2015100</v>
      </c>
      <c r="C305" s="122"/>
      <c r="D305" s="122"/>
      <c r="E305" s="122"/>
      <c r="F305" s="122">
        <f>G305</f>
        <v>1010700</v>
      </c>
      <c r="G305" s="122">
        <f>Дод.3!J123*1000</f>
        <v>1010700</v>
      </c>
      <c r="H305" s="122"/>
      <c r="I305" s="122">
        <f>J305</f>
        <v>1004400</v>
      </c>
      <c r="J305" s="122">
        <f>Дод.3!K123*1000</f>
        <v>1004400</v>
      </c>
      <c r="K305" s="124"/>
    </row>
    <row r="306" spans="1:11" ht="39.75" customHeight="1" x14ac:dyDescent="0.3">
      <c r="A306" s="258" t="s">
        <v>116</v>
      </c>
      <c r="B306" s="124"/>
      <c r="C306" s="124"/>
      <c r="D306" s="124"/>
      <c r="E306" s="124"/>
      <c r="F306" s="124"/>
      <c r="G306" s="124"/>
      <c r="H306" s="124"/>
      <c r="I306" s="124"/>
      <c r="J306" s="124"/>
      <c r="K306" s="124"/>
    </row>
    <row r="307" spans="1:11" ht="28.5" customHeight="1" x14ac:dyDescent="0.3">
      <c r="A307" s="120" t="s">
        <v>166</v>
      </c>
      <c r="B307" s="124"/>
      <c r="C307" s="124"/>
      <c r="D307" s="124"/>
      <c r="E307" s="124"/>
      <c r="F307" s="124">
        <f t="shared" ref="F307:F312" si="9">G307</f>
        <v>1</v>
      </c>
      <c r="G307" s="124">
        <v>1</v>
      </c>
      <c r="H307" s="124"/>
      <c r="I307" s="124">
        <f t="shared" ref="I307:I312" si="10">J307</f>
        <v>1</v>
      </c>
      <c r="J307" s="124">
        <v>1</v>
      </c>
      <c r="K307" s="124"/>
    </row>
    <row r="308" spans="1:11" ht="36" customHeight="1" x14ac:dyDescent="0.3">
      <c r="A308" s="258" t="s">
        <v>80</v>
      </c>
      <c r="B308" s="124"/>
      <c r="C308" s="124"/>
      <c r="D308" s="124"/>
      <c r="E308" s="124"/>
      <c r="F308" s="124"/>
      <c r="G308" s="124"/>
      <c r="H308" s="124"/>
      <c r="I308" s="124"/>
      <c r="J308" s="124"/>
      <c r="K308" s="124"/>
    </row>
    <row r="309" spans="1:11" ht="30.75" customHeight="1" x14ac:dyDescent="0.3">
      <c r="A309" s="120" t="s">
        <v>221</v>
      </c>
      <c r="B309" s="124"/>
      <c r="C309" s="124"/>
      <c r="D309" s="124"/>
      <c r="E309" s="124"/>
      <c r="F309" s="124">
        <f t="shared" si="9"/>
        <v>1010700</v>
      </c>
      <c r="G309" s="124">
        <f>G305/G307</f>
        <v>1010700</v>
      </c>
      <c r="H309" s="124"/>
      <c r="I309" s="124">
        <f t="shared" si="10"/>
        <v>1004400</v>
      </c>
      <c r="J309" s="124">
        <f>J305/J307</f>
        <v>1004400</v>
      </c>
      <c r="K309" s="124"/>
    </row>
    <row r="310" spans="1:11" ht="36" customHeight="1" x14ac:dyDescent="0.3">
      <c r="A310" s="258" t="s">
        <v>81</v>
      </c>
      <c r="B310" s="124"/>
      <c r="C310" s="124"/>
      <c r="D310" s="124"/>
      <c r="E310" s="124"/>
      <c r="F310" s="124"/>
      <c r="G310" s="124"/>
      <c r="H310" s="124"/>
      <c r="I310" s="124"/>
      <c r="J310" s="124"/>
      <c r="K310" s="124"/>
    </row>
    <row r="311" spans="1:11" ht="42" customHeight="1" x14ac:dyDescent="0.3">
      <c r="A311" s="120" t="s">
        <v>182</v>
      </c>
      <c r="B311" s="124"/>
      <c r="C311" s="124"/>
      <c r="D311" s="124"/>
      <c r="E311" s="124"/>
      <c r="F311" s="124">
        <f t="shared" si="9"/>
        <v>100</v>
      </c>
      <c r="G311" s="124">
        <v>100</v>
      </c>
      <c r="H311" s="124"/>
      <c r="I311" s="124">
        <f t="shared" si="10"/>
        <v>100</v>
      </c>
      <c r="J311" s="124">
        <v>100</v>
      </c>
      <c r="K311" s="124"/>
    </row>
    <row r="312" spans="1:11" ht="85.5" customHeight="1" x14ac:dyDescent="0.3">
      <c r="A312" s="120" t="s">
        <v>291</v>
      </c>
      <c r="B312" s="124"/>
      <c r="C312" s="124"/>
      <c r="D312" s="124"/>
      <c r="E312" s="124"/>
      <c r="F312" s="124">
        <f t="shared" si="9"/>
        <v>112.85171951764181</v>
      </c>
      <c r="G312" s="124">
        <f>G305/D295*100</f>
        <v>112.85171951764181</v>
      </c>
      <c r="H312" s="124"/>
      <c r="I312" s="124">
        <f t="shared" si="10"/>
        <v>99.376669634906506</v>
      </c>
      <c r="J312" s="124">
        <f>J305/G305*100</f>
        <v>99.376669634906506</v>
      </c>
      <c r="K312" s="124"/>
    </row>
    <row r="313" spans="1:11" ht="36" customHeight="1" x14ac:dyDescent="0.3">
      <c r="A313" s="495" t="s">
        <v>292</v>
      </c>
      <c r="B313" s="496"/>
      <c r="C313" s="496"/>
      <c r="D313" s="496"/>
      <c r="E313" s="496"/>
      <c r="F313" s="496"/>
      <c r="G313" s="496"/>
      <c r="H313" s="496"/>
      <c r="I313" s="496"/>
      <c r="J313" s="496"/>
      <c r="K313" s="497"/>
    </row>
    <row r="314" spans="1:11" ht="33.75" customHeight="1" x14ac:dyDescent="0.3">
      <c r="A314" s="262" t="s">
        <v>234</v>
      </c>
      <c r="B314" s="258">
        <f>B318+B327+B336+B352+B368+B377+B386+B399</f>
        <v>57336200</v>
      </c>
      <c r="C314" s="258">
        <f>D314+E314</f>
        <v>17774900</v>
      </c>
      <c r="D314" s="258">
        <f>D318+D336+D368+D386</f>
        <v>17774900</v>
      </c>
      <c r="E314" s="258"/>
      <c r="F314" s="258">
        <f>G314+H314</f>
        <v>20196000</v>
      </c>
      <c r="G314" s="258">
        <f>G327+G352+G377+G399</f>
        <v>20196000</v>
      </c>
      <c r="H314" s="258"/>
      <c r="I314" s="258">
        <f>J314+K314</f>
        <v>19365300</v>
      </c>
      <c r="J314" s="258">
        <f>J327+J352+J377+J399</f>
        <v>19365300</v>
      </c>
      <c r="K314" s="258"/>
    </row>
    <row r="315" spans="1:11" ht="30" customHeight="1" x14ac:dyDescent="0.3">
      <c r="A315" s="501" t="s">
        <v>509</v>
      </c>
      <c r="B315" s="502"/>
      <c r="C315" s="502"/>
      <c r="D315" s="502"/>
      <c r="E315" s="502"/>
      <c r="F315" s="502"/>
      <c r="G315" s="502"/>
      <c r="H315" s="502"/>
      <c r="I315" s="502"/>
      <c r="J315" s="502"/>
      <c r="K315" s="503"/>
    </row>
    <row r="316" spans="1:11" ht="36" customHeight="1" x14ac:dyDescent="0.3">
      <c r="A316" s="492" t="s">
        <v>460</v>
      </c>
      <c r="B316" s="493"/>
      <c r="C316" s="493"/>
      <c r="D316" s="493"/>
      <c r="E316" s="493"/>
      <c r="F316" s="493"/>
      <c r="G316" s="493"/>
      <c r="H316" s="493"/>
      <c r="I316" s="493"/>
      <c r="J316" s="493"/>
      <c r="K316" s="494"/>
    </row>
    <row r="317" spans="1:11" ht="28.5" customHeight="1" x14ac:dyDescent="0.3">
      <c r="A317" s="258" t="s">
        <v>77</v>
      </c>
      <c r="B317" s="258"/>
      <c r="C317" s="258"/>
      <c r="D317" s="258"/>
      <c r="E317" s="258"/>
      <c r="F317" s="258"/>
      <c r="G317" s="258"/>
      <c r="H317" s="258"/>
      <c r="I317" s="258"/>
      <c r="J317" s="258"/>
      <c r="K317" s="258"/>
    </row>
    <row r="318" spans="1:11" ht="28.5" customHeight="1" x14ac:dyDescent="0.3">
      <c r="A318" s="120" t="s">
        <v>231</v>
      </c>
      <c r="B318" s="119">
        <f>C318+F318+I318</f>
        <v>12542200</v>
      </c>
      <c r="C318" s="119">
        <f>D318+E318</f>
        <v>12542200</v>
      </c>
      <c r="D318" s="119">
        <f>Дод.3!I153*1000</f>
        <v>12542200</v>
      </c>
      <c r="E318" s="119"/>
      <c r="F318" s="119"/>
      <c r="G318" s="119"/>
      <c r="H318" s="119"/>
      <c r="I318" s="119"/>
      <c r="J318" s="119"/>
      <c r="K318" s="258"/>
    </row>
    <row r="319" spans="1:11" ht="28.5" customHeight="1" x14ac:dyDescent="0.3">
      <c r="A319" s="258" t="s">
        <v>79</v>
      </c>
      <c r="B319" s="121"/>
      <c r="C319" s="121"/>
      <c r="D319" s="121"/>
      <c r="E319" s="121"/>
      <c r="F319" s="121"/>
      <c r="G319" s="121"/>
      <c r="H319" s="121"/>
      <c r="I319" s="121"/>
      <c r="J319" s="121"/>
      <c r="K319" s="258"/>
    </row>
    <row r="320" spans="1:11" ht="54.75" customHeight="1" x14ac:dyDescent="0.3">
      <c r="A320" s="120" t="s">
        <v>185</v>
      </c>
      <c r="B320" s="121"/>
      <c r="C320" s="121">
        <f>D320</f>
        <v>26112</v>
      </c>
      <c r="D320" s="121">
        <f>18554+7550+8</f>
        <v>26112</v>
      </c>
      <c r="E320" s="121"/>
      <c r="F320" s="121"/>
      <c r="G320" s="121"/>
      <c r="H320" s="121"/>
      <c r="I320" s="121"/>
      <c r="J320" s="121"/>
      <c r="K320" s="258"/>
    </row>
    <row r="321" spans="1:11" ht="28.5" customHeight="1" x14ac:dyDescent="0.3">
      <c r="A321" s="258" t="s">
        <v>80</v>
      </c>
      <c r="B321" s="121"/>
      <c r="C321" s="121"/>
      <c r="D321" s="121"/>
      <c r="E321" s="121"/>
      <c r="F321" s="121"/>
      <c r="G321" s="121"/>
      <c r="H321" s="121"/>
      <c r="I321" s="121"/>
      <c r="J321" s="121"/>
      <c r="K321" s="258"/>
    </row>
    <row r="322" spans="1:11" ht="28.5" customHeight="1" x14ac:dyDescent="0.3">
      <c r="A322" s="125" t="s">
        <v>222</v>
      </c>
      <c r="B322" s="121"/>
      <c r="C322" s="121">
        <f>C318/C320</f>
        <v>480.32322303921569</v>
      </c>
      <c r="D322" s="121">
        <f>D318/D320</f>
        <v>480.32322303921569</v>
      </c>
      <c r="E322" s="121"/>
      <c r="F322" s="121"/>
      <c r="G322" s="121"/>
      <c r="H322" s="121"/>
      <c r="I322" s="121"/>
      <c r="J322" s="121"/>
      <c r="K322" s="120"/>
    </row>
    <row r="323" spans="1:11" ht="28.5" customHeight="1" x14ac:dyDescent="0.3">
      <c r="A323" s="135" t="s">
        <v>81</v>
      </c>
      <c r="B323" s="121"/>
      <c r="C323" s="121"/>
      <c r="D323" s="121"/>
      <c r="E323" s="121"/>
      <c r="F323" s="121"/>
      <c r="G323" s="121"/>
      <c r="H323" s="121"/>
      <c r="I323" s="121"/>
      <c r="J323" s="121"/>
      <c r="K323" s="258"/>
    </row>
    <row r="324" spans="1:11" ht="96.75" customHeight="1" x14ac:dyDescent="0.3">
      <c r="A324" s="120" t="s">
        <v>186</v>
      </c>
      <c r="B324" s="121"/>
      <c r="C324" s="121">
        <f>D324</f>
        <v>100.41954234655479</v>
      </c>
      <c r="D324" s="121">
        <f>D318/12489800*100</f>
        <v>100.41954234655479</v>
      </c>
      <c r="E324" s="121"/>
      <c r="F324" s="121"/>
      <c r="G324" s="121"/>
      <c r="H324" s="121"/>
      <c r="I324" s="121"/>
      <c r="J324" s="121"/>
      <c r="K324" s="258"/>
    </row>
    <row r="325" spans="1:11" ht="39.75" customHeight="1" x14ac:dyDescent="0.3">
      <c r="A325" s="495" t="s">
        <v>461</v>
      </c>
      <c r="B325" s="496"/>
      <c r="C325" s="496"/>
      <c r="D325" s="496"/>
      <c r="E325" s="496"/>
      <c r="F325" s="496"/>
      <c r="G325" s="496"/>
      <c r="H325" s="496"/>
      <c r="I325" s="496"/>
      <c r="J325" s="496"/>
      <c r="K325" s="497"/>
    </row>
    <row r="326" spans="1:11" ht="42" customHeight="1" x14ac:dyDescent="0.3">
      <c r="A326" s="258" t="s">
        <v>77</v>
      </c>
      <c r="B326" s="121"/>
      <c r="C326" s="121"/>
      <c r="D326" s="121"/>
      <c r="E326" s="121"/>
      <c r="F326" s="121"/>
      <c r="G326" s="121"/>
      <c r="H326" s="121"/>
      <c r="I326" s="121"/>
      <c r="J326" s="121"/>
      <c r="K326" s="258"/>
    </row>
    <row r="327" spans="1:11" ht="36" customHeight="1" x14ac:dyDescent="0.3">
      <c r="A327" s="120" t="s">
        <v>231</v>
      </c>
      <c r="B327" s="119">
        <f>F327+I327</f>
        <v>26314600</v>
      </c>
      <c r="C327" s="119"/>
      <c r="D327" s="119"/>
      <c r="E327" s="119"/>
      <c r="F327" s="119">
        <f>G327</f>
        <v>11875000</v>
      </c>
      <c r="G327" s="119">
        <f>Дод.3!J157*1000</f>
        <v>11875000</v>
      </c>
      <c r="H327" s="119"/>
      <c r="I327" s="119">
        <f>J327</f>
        <v>14439600</v>
      </c>
      <c r="J327" s="119">
        <f>Дод.3!K157*1000</f>
        <v>14439600</v>
      </c>
      <c r="K327" s="258"/>
    </row>
    <row r="328" spans="1:11" ht="36" customHeight="1" x14ac:dyDescent="0.3">
      <c r="A328" s="258" t="s">
        <v>79</v>
      </c>
      <c r="B328" s="121"/>
      <c r="C328" s="121"/>
      <c r="D328" s="121"/>
      <c r="E328" s="121"/>
      <c r="F328" s="121"/>
      <c r="G328" s="121"/>
      <c r="H328" s="121"/>
      <c r="I328" s="121"/>
      <c r="J328" s="121"/>
      <c r="K328" s="258"/>
    </row>
    <row r="329" spans="1:11" ht="49.5" customHeight="1" x14ac:dyDescent="0.3">
      <c r="A329" s="120" t="s">
        <v>185</v>
      </c>
      <c r="B329" s="121"/>
      <c r="C329" s="121"/>
      <c r="D329" s="121"/>
      <c r="E329" s="121"/>
      <c r="F329" s="121">
        <f>G329</f>
        <v>31340</v>
      </c>
      <c r="G329" s="121">
        <v>31340</v>
      </c>
      <c r="H329" s="121"/>
      <c r="I329" s="121">
        <f>J329</f>
        <v>26112</v>
      </c>
      <c r="J329" s="121">
        <v>26112</v>
      </c>
      <c r="K329" s="258"/>
    </row>
    <row r="330" spans="1:11" ht="40.5" customHeight="1" x14ac:dyDescent="0.3">
      <c r="A330" s="258" t="s">
        <v>80</v>
      </c>
      <c r="B330" s="121"/>
      <c r="C330" s="121"/>
      <c r="D330" s="121"/>
      <c r="E330" s="121"/>
      <c r="F330" s="121"/>
      <c r="G330" s="121"/>
      <c r="H330" s="121"/>
      <c r="I330" s="121"/>
      <c r="J330" s="121"/>
      <c r="K330" s="258"/>
    </row>
    <row r="331" spans="1:11" ht="40.5" customHeight="1" x14ac:dyDescent="0.3">
      <c r="A331" s="125" t="s">
        <v>222</v>
      </c>
      <c r="B331" s="121"/>
      <c r="C331" s="121"/>
      <c r="D331" s="121"/>
      <c r="E331" s="121"/>
      <c r="F331" s="121">
        <f>G331</f>
        <v>378.90874282067648</v>
      </c>
      <c r="G331" s="121">
        <f>G327/G329</f>
        <v>378.90874282067648</v>
      </c>
      <c r="H331" s="121"/>
      <c r="I331" s="121">
        <f>J331</f>
        <v>552.98713235294122</v>
      </c>
      <c r="J331" s="121">
        <f>J327/J329</f>
        <v>552.98713235294122</v>
      </c>
      <c r="K331" s="258"/>
    </row>
    <row r="332" spans="1:11" ht="42" customHeight="1" x14ac:dyDescent="0.3">
      <c r="A332" s="135" t="s">
        <v>81</v>
      </c>
      <c r="B332" s="121"/>
      <c r="C332" s="121"/>
      <c r="D332" s="121"/>
      <c r="E332" s="121"/>
      <c r="F332" s="121"/>
      <c r="G332" s="121"/>
      <c r="H332" s="121"/>
      <c r="I332" s="121"/>
      <c r="J332" s="121"/>
      <c r="K332" s="258"/>
    </row>
    <row r="333" spans="1:11" ht="96.75" customHeight="1" x14ac:dyDescent="0.3">
      <c r="A333" s="120" t="s">
        <v>186</v>
      </c>
      <c r="B333" s="121"/>
      <c r="C333" s="121"/>
      <c r="D333" s="121"/>
      <c r="E333" s="121"/>
      <c r="F333" s="121">
        <f>G333</f>
        <v>94.680359107652563</v>
      </c>
      <c r="G333" s="121">
        <f>G327/D318*100</f>
        <v>94.680359107652563</v>
      </c>
      <c r="H333" s="121"/>
      <c r="I333" s="121">
        <f>J333</f>
        <v>121.59663157894738</v>
      </c>
      <c r="J333" s="121">
        <f>J327/G327*100</f>
        <v>121.59663157894738</v>
      </c>
      <c r="K333" s="258"/>
    </row>
    <row r="334" spans="1:11" ht="28.5" customHeight="1" x14ac:dyDescent="0.3">
      <c r="A334" s="506" t="s">
        <v>462</v>
      </c>
      <c r="B334" s="506"/>
      <c r="C334" s="506"/>
      <c r="D334" s="506"/>
      <c r="E334" s="506"/>
      <c r="F334" s="506"/>
      <c r="G334" s="506"/>
      <c r="H334" s="506"/>
      <c r="I334" s="506"/>
      <c r="J334" s="506"/>
      <c r="K334" s="506"/>
    </row>
    <row r="335" spans="1:11" ht="28.5" customHeight="1" x14ac:dyDescent="0.3">
      <c r="A335" s="258" t="s">
        <v>77</v>
      </c>
      <c r="B335" s="258"/>
      <c r="C335" s="258"/>
      <c r="D335" s="258"/>
      <c r="E335" s="258"/>
      <c r="F335" s="258"/>
      <c r="G335" s="258"/>
      <c r="H335" s="258"/>
      <c r="I335" s="258"/>
      <c r="J335" s="258"/>
      <c r="K335" s="258"/>
    </row>
    <row r="336" spans="1:11" ht="28.5" customHeight="1" x14ac:dyDescent="0.3">
      <c r="A336" s="120" t="s">
        <v>230</v>
      </c>
      <c r="B336" s="119">
        <f>C336+F336+I336</f>
        <v>2806300</v>
      </c>
      <c r="C336" s="119">
        <f>D336+E336</f>
        <v>2806300</v>
      </c>
      <c r="D336" s="119">
        <f>Дод.3!I161*1000</f>
        <v>2806300</v>
      </c>
      <c r="E336" s="119"/>
      <c r="F336" s="119"/>
      <c r="G336" s="119"/>
      <c r="H336" s="119"/>
      <c r="I336" s="119"/>
      <c r="J336" s="119"/>
      <c r="K336" s="258"/>
    </row>
    <row r="337" spans="1:11" ht="28.5" customHeight="1" x14ac:dyDescent="0.3">
      <c r="A337" s="120" t="s">
        <v>235</v>
      </c>
      <c r="B337" s="119"/>
      <c r="C337" s="121">
        <f>D337</f>
        <v>1916190</v>
      </c>
      <c r="D337" s="121">
        <f>1268520+627640+20030</f>
        <v>1916190</v>
      </c>
      <c r="E337" s="119"/>
      <c r="F337" s="121"/>
      <c r="G337" s="121"/>
      <c r="H337" s="119"/>
      <c r="I337" s="121"/>
      <c r="J337" s="121"/>
      <c r="K337" s="258"/>
    </row>
    <row r="338" spans="1:11" ht="53.25" customHeight="1" x14ac:dyDescent="0.3">
      <c r="A338" s="120" t="s">
        <v>236</v>
      </c>
      <c r="B338" s="119"/>
      <c r="C338" s="121">
        <f t="shared" ref="C338:C343" si="11">D338</f>
        <v>830234.17999999993</v>
      </c>
      <c r="D338" s="121">
        <f>365476+444728.18+20030</f>
        <v>830234.17999999993</v>
      </c>
      <c r="E338" s="119"/>
      <c r="F338" s="121"/>
      <c r="G338" s="121"/>
      <c r="H338" s="119"/>
      <c r="I338" s="121"/>
      <c r="J338" s="121"/>
      <c r="K338" s="258"/>
    </row>
    <row r="339" spans="1:11" ht="42" customHeight="1" x14ac:dyDescent="0.3">
      <c r="A339" s="120" t="s">
        <v>237</v>
      </c>
      <c r="B339" s="119"/>
      <c r="C339" s="121">
        <f t="shared" si="11"/>
        <v>59884</v>
      </c>
      <c r="D339" s="121">
        <f>46234+13650</f>
        <v>59884</v>
      </c>
      <c r="E339" s="119"/>
      <c r="F339" s="121"/>
      <c r="G339" s="121"/>
      <c r="H339" s="119"/>
      <c r="I339" s="121"/>
      <c r="J339" s="121"/>
      <c r="K339" s="258"/>
    </row>
    <row r="340" spans="1:11" ht="28.5" customHeight="1" x14ac:dyDescent="0.3">
      <c r="A340" s="258" t="s">
        <v>79</v>
      </c>
      <c r="B340" s="121"/>
      <c r="C340" s="121"/>
      <c r="D340" s="121"/>
      <c r="E340" s="121"/>
      <c r="F340" s="121"/>
      <c r="G340" s="121"/>
      <c r="H340" s="121"/>
      <c r="I340" s="121"/>
      <c r="J340" s="121"/>
      <c r="K340" s="258"/>
    </row>
    <row r="341" spans="1:11" ht="28.5" customHeight="1" x14ac:dyDescent="0.3">
      <c r="A341" s="120" t="s">
        <v>293</v>
      </c>
      <c r="B341" s="121"/>
      <c r="C341" s="121">
        <f t="shared" si="11"/>
        <v>281</v>
      </c>
      <c r="D341" s="121">
        <f>165+114+2</f>
        <v>281</v>
      </c>
      <c r="E341" s="121"/>
      <c r="F341" s="121"/>
      <c r="G341" s="121"/>
      <c r="H341" s="121"/>
      <c r="I341" s="121"/>
      <c r="J341" s="121"/>
      <c r="K341" s="258"/>
    </row>
    <row r="342" spans="1:11" ht="28.5" customHeight="1" x14ac:dyDescent="0.3">
      <c r="A342" s="120" t="s">
        <v>294</v>
      </c>
      <c r="B342" s="121"/>
      <c r="C342" s="121">
        <f t="shared" si="11"/>
        <v>80</v>
      </c>
      <c r="D342" s="121">
        <f>47+30+3</f>
        <v>80</v>
      </c>
      <c r="E342" s="121"/>
      <c r="F342" s="121"/>
      <c r="G342" s="121"/>
      <c r="H342" s="121"/>
      <c r="I342" s="121"/>
      <c r="J342" s="121"/>
      <c r="K342" s="258"/>
    </row>
    <row r="343" spans="1:11" ht="28.5" customHeight="1" x14ac:dyDescent="0.3">
      <c r="A343" s="120" t="s">
        <v>295</v>
      </c>
      <c r="B343" s="121"/>
      <c r="C343" s="121">
        <f t="shared" si="11"/>
        <v>36</v>
      </c>
      <c r="D343" s="121">
        <f>16+20</f>
        <v>36</v>
      </c>
      <c r="E343" s="121"/>
      <c r="F343" s="121"/>
      <c r="G343" s="121"/>
      <c r="H343" s="121"/>
      <c r="I343" s="121"/>
      <c r="J343" s="121"/>
      <c r="K343" s="258"/>
    </row>
    <row r="344" spans="1:11" ht="28.5" customHeight="1" x14ac:dyDescent="0.3">
      <c r="A344" s="258" t="s">
        <v>80</v>
      </c>
      <c r="B344" s="121"/>
      <c r="C344" s="121"/>
      <c r="D344" s="121"/>
      <c r="E344" s="121"/>
      <c r="F344" s="121"/>
      <c r="G344" s="121"/>
      <c r="H344" s="121"/>
      <c r="I344" s="121"/>
      <c r="J344" s="121"/>
      <c r="K344" s="258"/>
    </row>
    <row r="345" spans="1:11" ht="39.75" customHeight="1" x14ac:dyDescent="0.3">
      <c r="A345" s="125" t="s">
        <v>238</v>
      </c>
      <c r="B345" s="121"/>
      <c r="C345" s="121">
        <f t="shared" ref="C345:D347" si="12">C337/C341</f>
        <v>6819.1814946619215</v>
      </c>
      <c r="D345" s="121">
        <f t="shared" si="12"/>
        <v>6819.1814946619215</v>
      </c>
      <c r="E345" s="121"/>
      <c r="F345" s="121"/>
      <c r="G345" s="121"/>
      <c r="H345" s="121"/>
      <c r="I345" s="121"/>
      <c r="J345" s="121"/>
      <c r="K345" s="258"/>
    </row>
    <row r="346" spans="1:11" ht="54.75" customHeight="1" x14ac:dyDescent="0.3">
      <c r="A346" s="125" t="s">
        <v>239</v>
      </c>
      <c r="B346" s="121"/>
      <c r="C346" s="121">
        <f t="shared" si="12"/>
        <v>10377.927249999999</v>
      </c>
      <c r="D346" s="121">
        <f t="shared" si="12"/>
        <v>10377.927249999999</v>
      </c>
      <c r="E346" s="121"/>
      <c r="F346" s="121"/>
      <c r="G346" s="121"/>
      <c r="H346" s="121"/>
      <c r="I346" s="121"/>
      <c r="J346" s="121"/>
      <c r="K346" s="258"/>
    </row>
    <row r="347" spans="1:11" ht="60.75" customHeight="1" x14ac:dyDescent="0.3">
      <c r="A347" s="125" t="s">
        <v>240</v>
      </c>
      <c r="B347" s="121"/>
      <c r="C347" s="121">
        <f t="shared" si="12"/>
        <v>1663.4444444444443</v>
      </c>
      <c r="D347" s="121">
        <f t="shared" si="12"/>
        <v>1663.4444444444443</v>
      </c>
      <c r="E347" s="121"/>
      <c r="F347" s="121"/>
      <c r="G347" s="121"/>
      <c r="H347" s="121"/>
      <c r="I347" s="121"/>
      <c r="J347" s="121"/>
      <c r="K347" s="258"/>
    </row>
    <row r="348" spans="1:11" ht="28.5" customHeight="1" x14ac:dyDescent="0.3">
      <c r="A348" s="135" t="s">
        <v>81</v>
      </c>
      <c r="B348" s="121"/>
      <c r="C348" s="121"/>
      <c r="D348" s="121"/>
      <c r="E348" s="121"/>
      <c r="F348" s="121"/>
      <c r="G348" s="121"/>
      <c r="H348" s="121"/>
      <c r="I348" s="121"/>
      <c r="J348" s="121"/>
      <c r="K348" s="258"/>
    </row>
    <row r="349" spans="1:11" ht="70.5" customHeight="1" x14ac:dyDescent="0.3">
      <c r="A349" s="120" t="s">
        <v>296</v>
      </c>
      <c r="B349" s="121"/>
      <c r="C349" s="121">
        <f>D349</f>
        <v>311.45639688132957</v>
      </c>
      <c r="D349" s="121">
        <f>D336/901025*100</f>
        <v>311.45639688132957</v>
      </c>
      <c r="E349" s="121"/>
      <c r="F349" s="121"/>
      <c r="G349" s="121"/>
      <c r="H349" s="121"/>
      <c r="I349" s="121"/>
      <c r="J349" s="121"/>
      <c r="K349" s="258"/>
    </row>
    <row r="350" spans="1:11" ht="51.75" customHeight="1" x14ac:dyDescent="0.3">
      <c r="A350" s="495" t="s">
        <v>463</v>
      </c>
      <c r="B350" s="496"/>
      <c r="C350" s="496"/>
      <c r="D350" s="496"/>
      <c r="E350" s="496"/>
      <c r="F350" s="496"/>
      <c r="G350" s="496"/>
      <c r="H350" s="496"/>
      <c r="I350" s="496"/>
      <c r="J350" s="496"/>
      <c r="K350" s="497"/>
    </row>
    <row r="351" spans="1:11" ht="34.5" customHeight="1" x14ac:dyDescent="0.3">
      <c r="A351" s="258" t="s">
        <v>77</v>
      </c>
      <c r="B351" s="121"/>
      <c r="C351" s="121"/>
      <c r="D351" s="121"/>
      <c r="E351" s="121"/>
      <c r="F351" s="121"/>
      <c r="G351" s="121"/>
      <c r="H351" s="121"/>
      <c r="I351" s="121"/>
      <c r="J351" s="121"/>
      <c r="K351" s="258"/>
    </row>
    <row r="352" spans="1:11" ht="29.25" customHeight="1" x14ac:dyDescent="0.3">
      <c r="A352" s="120" t="s">
        <v>230</v>
      </c>
      <c r="B352" s="119">
        <f>F352+I352</f>
        <v>7482900</v>
      </c>
      <c r="C352" s="119"/>
      <c r="D352" s="119"/>
      <c r="E352" s="119"/>
      <c r="F352" s="119">
        <f>G352</f>
        <v>5824400</v>
      </c>
      <c r="G352" s="119">
        <f>Дод.3!J165*1000</f>
        <v>5824400</v>
      </c>
      <c r="H352" s="119"/>
      <c r="I352" s="119">
        <f>J352</f>
        <v>1658500</v>
      </c>
      <c r="J352" s="119">
        <f>Дод.3!K165*1000</f>
        <v>1658500</v>
      </c>
      <c r="K352" s="258"/>
    </row>
    <row r="353" spans="1:11" ht="30.75" customHeight="1" x14ac:dyDescent="0.3">
      <c r="A353" s="120" t="s">
        <v>235</v>
      </c>
      <c r="B353" s="121"/>
      <c r="C353" s="121"/>
      <c r="D353" s="121"/>
      <c r="E353" s="121"/>
      <c r="F353" s="121">
        <f t="shared" ref="F353:F363" si="13">G353</f>
        <v>1002458</v>
      </c>
      <c r="G353" s="121">
        <v>1002458</v>
      </c>
      <c r="H353" s="121"/>
      <c r="I353" s="121">
        <f t="shared" ref="I353:I365" si="14">J353</f>
        <v>1148830</v>
      </c>
      <c r="J353" s="121">
        <v>1148830</v>
      </c>
      <c r="K353" s="258"/>
    </row>
    <row r="354" spans="1:11" ht="51.75" customHeight="1" x14ac:dyDescent="0.3">
      <c r="A354" s="120" t="s">
        <v>236</v>
      </c>
      <c r="B354" s="121"/>
      <c r="C354" s="121"/>
      <c r="D354" s="121"/>
      <c r="E354" s="121"/>
      <c r="F354" s="121">
        <f t="shared" si="13"/>
        <v>444572</v>
      </c>
      <c r="G354" s="121">
        <v>444572</v>
      </c>
      <c r="H354" s="121"/>
      <c r="I354" s="121">
        <f t="shared" si="14"/>
        <v>466350</v>
      </c>
      <c r="J354" s="121">
        <v>466350</v>
      </c>
      <c r="K354" s="258"/>
    </row>
    <row r="355" spans="1:11" ht="30.75" customHeight="1" x14ac:dyDescent="0.3">
      <c r="A355" s="120" t="s">
        <v>237</v>
      </c>
      <c r="B355" s="121"/>
      <c r="C355" s="121"/>
      <c r="D355" s="121"/>
      <c r="E355" s="121"/>
      <c r="F355" s="121">
        <f t="shared" si="13"/>
        <v>52970</v>
      </c>
      <c r="G355" s="121">
        <v>52970</v>
      </c>
      <c r="H355" s="121"/>
      <c r="I355" s="121">
        <f t="shared" si="14"/>
        <v>42320</v>
      </c>
      <c r="J355" s="121">
        <v>42320</v>
      </c>
      <c r="K355" s="258"/>
    </row>
    <row r="356" spans="1:11" ht="40.5" customHeight="1" x14ac:dyDescent="0.3">
      <c r="A356" s="258" t="s">
        <v>79</v>
      </c>
      <c r="B356" s="121"/>
      <c r="C356" s="121"/>
      <c r="D356" s="121"/>
      <c r="E356" s="121"/>
      <c r="F356" s="121"/>
      <c r="G356" s="121"/>
      <c r="H356" s="121"/>
      <c r="I356" s="121"/>
      <c r="J356" s="121"/>
      <c r="K356" s="258"/>
    </row>
    <row r="357" spans="1:11" ht="38.25" customHeight="1" x14ac:dyDescent="0.3">
      <c r="A357" s="120" t="s">
        <v>293</v>
      </c>
      <c r="B357" s="121"/>
      <c r="C357" s="121"/>
      <c r="D357" s="121"/>
      <c r="E357" s="121"/>
      <c r="F357" s="121">
        <f t="shared" si="13"/>
        <v>272</v>
      </c>
      <c r="G357" s="121">
        <v>272</v>
      </c>
      <c r="H357" s="121"/>
      <c r="I357" s="121">
        <f t="shared" si="14"/>
        <v>284</v>
      </c>
      <c r="J357" s="121">
        <v>284</v>
      </c>
      <c r="K357" s="258"/>
    </row>
    <row r="358" spans="1:11" ht="57" customHeight="1" x14ac:dyDescent="0.3">
      <c r="A358" s="120" t="s">
        <v>294</v>
      </c>
      <c r="B358" s="121"/>
      <c r="C358" s="121"/>
      <c r="D358" s="121"/>
      <c r="E358" s="121"/>
      <c r="F358" s="121">
        <f t="shared" si="13"/>
        <v>110</v>
      </c>
      <c r="G358" s="121">
        <v>110</v>
      </c>
      <c r="H358" s="121"/>
      <c r="I358" s="121">
        <f t="shared" si="14"/>
        <v>83</v>
      </c>
      <c r="J358" s="121">
        <v>83</v>
      </c>
      <c r="K358" s="258"/>
    </row>
    <row r="359" spans="1:11" ht="51.75" customHeight="1" x14ac:dyDescent="0.3">
      <c r="A359" s="120" t="s">
        <v>295</v>
      </c>
      <c r="B359" s="121"/>
      <c r="C359" s="121"/>
      <c r="D359" s="121"/>
      <c r="E359" s="121"/>
      <c r="F359" s="121">
        <f t="shared" si="13"/>
        <v>38</v>
      </c>
      <c r="G359" s="121">
        <v>38</v>
      </c>
      <c r="H359" s="121"/>
      <c r="I359" s="121">
        <f t="shared" si="14"/>
        <v>37</v>
      </c>
      <c r="J359" s="121">
        <v>37</v>
      </c>
      <c r="K359" s="258"/>
    </row>
    <row r="360" spans="1:11" ht="51.75" customHeight="1" x14ac:dyDescent="0.3">
      <c r="A360" s="258" t="s">
        <v>80</v>
      </c>
      <c r="B360" s="121"/>
      <c r="C360" s="121"/>
      <c r="D360" s="121"/>
      <c r="E360" s="121"/>
      <c r="F360" s="121"/>
      <c r="G360" s="121"/>
      <c r="H360" s="121"/>
      <c r="I360" s="121"/>
      <c r="J360" s="121"/>
      <c r="K360" s="258"/>
    </row>
    <row r="361" spans="1:11" ht="51.75" customHeight="1" x14ac:dyDescent="0.3">
      <c r="A361" s="125" t="s">
        <v>238</v>
      </c>
      <c r="B361" s="121"/>
      <c r="C361" s="121"/>
      <c r="D361" s="121"/>
      <c r="E361" s="121"/>
      <c r="F361" s="121">
        <f t="shared" si="13"/>
        <v>3685.5073529411766</v>
      </c>
      <c r="G361" s="121">
        <f>G353/G357</f>
        <v>3685.5073529411766</v>
      </c>
      <c r="H361" s="121"/>
      <c r="I361" s="121">
        <f t="shared" si="14"/>
        <v>4045.176056338028</v>
      </c>
      <c r="J361" s="121">
        <f>J353/J357</f>
        <v>4045.176056338028</v>
      </c>
      <c r="K361" s="258"/>
    </row>
    <row r="362" spans="1:11" ht="51.75" customHeight="1" x14ac:dyDescent="0.3">
      <c r="A362" s="125" t="s">
        <v>239</v>
      </c>
      <c r="B362" s="121"/>
      <c r="C362" s="121"/>
      <c r="D362" s="121"/>
      <c r="E362" s="121"/>
      <c r="F362" s="121">
        <f t="shared" si="13"/>
        <v>4041.5636363636363</v>
      </c>
      <c r="G362" s="121">
        <f>G354/G358</f>
        <v>4041.5636363636363</v>
      </c>
      <c r="H362" s="121"/>
      <c r="I362" s="121">
        <f t="shared" si="14"/>
        <v>5618.674698795181</v>
      </c>
      <c r="J362" s="121">
        <f>J354/J358</f>
        <v>5618.674698795181</v>
      </c>
      <c r="K362" s="258"/>
    </row>
    <row r="363" spans="1:11" ht="51.75" customHeight="1" x14ac:dyDescent="0.3">
      <c r="A363" s="125" t="s">
        <v>240</v>
      </c>
      <c r="B363" s="121"/>
      <c r="C363" s="121"/>
      <c r="D363" s="121"/>
      <c r="E363" s="121"/>
      <c r="F363" s="121">
        <f t="shared" si="13"/>
        <v>1393.9473684210527</v>
      </c>
      <c r="G363" s="121">
        <f>G355/G359</f>
        <v>1393.9473684210527</v>
      </c>
      <c r="H363" s="121"/>
      <c r="I363" s="121">
        <f t="shared" si="14"/>
        <v>1143.7837837837837</v>
      </c>
      <c r="J363" s="121">
        <f>J355/J359</f>
        <v>1143.7837837837837</v>
      </c>
      <c r="K363" s="258"/>
    </row>
    <row r="364" spans="1:11" ht="36" customHeight="1" x14ac:dyDescent="0.3">
      <c r="A364" s="135" t="s">
        <v>81</v>
      </c>
      <c r="B364" s="121"/>
      <c r="C364" s="121"/>
      <c r="D364" s="121"/>
      <c r="E364" s="121"/>
      <c r="F364" s="121"/>
      <c r="G364" s="121"/>
      <c r="H364" s="121"/>
      <c r="I364" s="121"/>
      <c r="J364" s="121"/>
      <c r="K364" s="258"/>
    </row>
    <row r="365" spans="1:11" ht="85.5" customHeight="1" x14ac:dyDescent="0.3">
      <c r="A365" s="120" t="s">
        <v>296</v>
      </c>
      <c r="B365" s="121"/>
      <c r="C365" s="121"/>
      <c r="D365" s="121"/>
      <c r="E365" s="121"/>
      <c r="F365" s="121">
        <f>G365</f>
        <v>207.54730427965652</v>
      </c>
      <c r="G365" s="121">
        <f>G352/D336*100</f>
        <v>207.54730427965652</v>
      </c>
      <c r="H365" s="121"/>
      <c r="I365" s="121">
        <f t="shared" si="14"/>
        <v>28.475036055215984</v>
      </c>
      <c r="J365" s="121">
        <f>J352/G352*100</f>
        <v>28.475036055215984</v>
      </c>
      <c r="K365" s="258"/>
    </row>
    <row r="366" spans="1:11" ht="28.5" customHeight="1" x14ac:dyDescent="0.3">
      <c r="A366" s="492" t="s">
        <v>464</v>
      </c>
      <c r="B366" s="493"/>
      <c r="C366" s="493"/>
      <c r="D366" s="493"/>
      <c r="E366" s="493"/>
      <c r="F366" s="493"/>
      <c r="G366" s="493"/>
      <c r="H366" s="493"/>
      <c r="I366" s="493"/>
      <c r="J366" s="493"/>
      <c r="K366" s="494"/>
    </row>
    <row r="367" spans="1:11" ht="28.5" customHeight="1" x14ac:dyDescent="0.3">
      <c r="A367" s="258" t="s">
        <v>77</v>
      </c>
      <c r="B367" s="258"/>
      <c r="C367" s="258"/>
      <c r="D367" s="120"/>
      <c r="E367" s="258"/>
      <c r="F367" s="258"/>
      <c r="G367" s="258"/>
      <c r="H367" s="258"/>
      <c r="I367" s="258"/>
      <c r="J367" s="258"/>
      <c r="K367" s="258"/>
    </row>
    <row r="368" spans="1:11" ht="28.5" customHeight="1" x14ac:dyDescent="0.3">
      <c r="A368" s="120" t="s">
        <v>241</v>
      </c>
      <c r="B368" s="119">
        <f>C368+F368+I368</f>
        <v>2061600</v>
      </c>
      <c r="C368" s="119">
        <f>D368+E368</f>
        <v>2061600</v>
      </c>
      <c r="D368" s="119">
        <f>Дод.3!I169*1000</f>
        <v>2061600</v>
      </c>
      <c r="E368" s="119"/>
      <c r="F368" s="119"/>
      <c r="G368" s="119"/>
      <c r="H368" s="119"/>
      <c r="I368" s="119"/>
      <c r="J368" s="119"/>
      <c r="K368" s="119"/>
    </row>
    <row r="369" spans="1:11" ht="28.5" customHeight="1" x14ac:dyDescent="0.3">
      <c r="A369" s="258" t="s">
        <v>79</v>
      </c>
      <c r="B369" s="121"/>
      <c r="C369" s="121"/>
      <c r="D369" s="121"/>
      <c r="E369" s="121"/>
      <c r="F369" s="121"/>
      <c r="G369" s="121"/>
      <c r="H369" s="121"/>
      <c r="I369" s="121"/>
      <c r="J369" s="121"/>
      <c r="K369" s="119"/>
    </row>
    <row r="370" spans="1:11" ht="57" customHeight="1" x14ac:dyDescent="0.3">
      <c r="A370" s="120" t="s">
        <v>189</v>
      </c>
      <c r="B370" s="121"/>
      <c r="C370" s="121">
        <f>D370</f>
        <v>742</v>
      </c>
      <c r="D370" s="121">
        <f>558+184</f>
        <v>742</v>
      </c>
      <c r="E370" s="121"/>
      <c r="F370" s="121"/>
      <c r="G370" s="121"/>
      <c r="H370" s="121"/>
      <c r="I370" s="121"/>
      <c r="J370" s="121"/>
      <c r="K370" s="119"/>
    </row>
    <row r="371" spans="1:11" ht="28.5" customHeight="1" x14ac:dyDescent="0.3">
      <c r="A371" s="258" t="s">
        <v>80</v>
      </c>
      <c r="B371" s="121"/>
      <c r="C371" s="121"/>
      <c r="D371" s="121"/>
      <c r="E371" s="121"/>
      <c r="F371" s="121"/>
      <c r="G371" s="121"/>
      <c r="H371" s="121"/>
      <c r="I371" s="121"/>
      <c r="J371" s="121"/>
      <c r="K371" s="119"/>
    </row>
    <row r="372" spans="1:11" ht="64.5" customHeight="1" x14ac:dyDescent="0.3">
      <c r="A372" s="125" t="s">
        <v>188</v>
      </c>
      <c r="B372" s="121"/>
      <c r="C372" s="121">
        <f>D372</f>
        <v>2778.4366576819407</v>
      </c>
      <c r="D372" s="121">
        <f>D368/D370</f>
        <v>2778.4366576819407</v>
      </c>
      <c r="E372" s="121"/>
      <c r="F372" s="121"/>
      <c r="G372" s="121"/>
      <c r="H372" s="121"/>
      <c r="I372" s="121"/>
      <c r="J372" s="121"/>
      <c r="K372" s="119"/>
    </row>
    <row r="373" spans="1:11" ht="28.5" customHeight="1" x14ac:dyDescent="0.3">
      <c r="A373" s="135" t="s">
        <v>81</v>
      </c>
      <c r="B373" s="121"/>
      <c r="C373" s="121"/>
      <c r="D373" s="121"/>
      <c r="E373" s="121"/>
      <c r="F373" s="121"/>
      <c r="G373" s="121"/>
      <c r="H373" s="121"/>
      <c r="I373" s="121"/>
      <c r="J373" s="121"/>
      <c r="K373" s="119"/>
    </row>
    <row r="374" spans="1:11" ht="72" customHeight="1" x14ac:dyDescent="0.3">
      <c r="A374" s="120" t="s">
        <v>187</v>
      </c>
      <c r="B374" s="121"/>
      <c r="C374" s="121">
        <f>D374</f>
        <v>82.463999999999999</v>
      </c>
      <c r="D374" s="121">
        <f>D368/2500000*100</f>
        <v>82.463999999999999</v>
      </c>
      <c r="E374" s="121"/>
      <c r="F374" s="121"/>
      <c r="G374" s="121"/>
      <c r="H374" s="121"/>
      <c r="I374" s="121"/>
      <c r="J374" s="121"/>
      <c r="K374" s="119"/>
    </row>
    <row r="375" spans="1:11" ht="51" customHeight="1" x14ac:dyDescent="0.3">
      <c r="A375" s="495" t="s">
        <v>465</v>
      </c>
      <c r="B375" s="496"/>
      <c r="C375" s="496"/>
      <c r="D375" s="496"/>
      <c r="E375" s="496"/>
      <c r="F375" s="496"/>
      <c r="G375" s="496"/>
      <c r="H375" s="496"/>
      <c r="I375" s="496"/>
      <c r="J375" s="496"/>
      <c r="K375" s="497"/>
    </row>
    <row r="376" spans="1:11" ht="30" customHeight="1" x14ac:dyDescent="0.3">
      <c r="A376" s="258" t="s">
        <v>77</v>
      </c>
      <c r="B376" s="121"/>
      <c r="C376" s="121"/>
      <c r="D376" s="121"/>
      <c r="E376" s="121"/>
      <c r="F376" s="121"/>
      <c r="G376" s="121"/>
      <c r="H376" s="121"/>
      <c r="I376" s="121"/>
      <c r="J376" s="121"/>
      <c r="K376" s="119"/>
    </row>
    <row r="377" spans="1:11" ht="39.75" customHeight="1" x14ac:dyDescent="0.3">
      <c r="A377" s="120" t="s">
        <v>241</v>
      </c>
      <c r="B377" s="119">
        <f>F377+I377</f>
        <v>5132100</v>
      </c>
      <c r="C377" s="119"/>
      <c r="D377" s="119"/>
      <c r="E377" s="119"/>
      <c r="F377" s="119">
        <f>G377</f>
        <v>2196600</v>
      </c>
      <c r="G377" s="119">
        <f>Дод.3!J172*1000</f>
        <v>2196600</v>
      </c>
      <c r="H377" s="119"/>
      <c r="I377" s="119">
        <f>J377</f>
        <v>2935500</v>
      </c>
      <c r="J377" s="119">
        <f>Дод.3!K172*1000</f>
        <v>2935500</v>
      </c>
      <c r="K377" s="119"/>
    </row>
    <row r="378" spans="1:11" ht="31.5" customHeight="1" x14ac:dyDescent="0.3">
      <c r="A378" s="258" t="s">
        <v>79</v>
      </c>
      <c r="B378" s="121"/>
      <c r="C378" s="121"/>
      <c r="D378" s="121"/>
      <c r="E378" s="121"/>
      <c r="F378" s="121"/>
      <c r="G378" s="121"/>
      <c r="H378" s="121"/>
      <c r="I378" s="121"/>
      <c r="J378" s="121"/>
      <c r="K378" s="119"/>
    </row>
    <row r="379" spans="1:11" ht="62.25" customHeight="1" x14ac:dyDescent="0.3">
      <c r="A379" s="120" t="s">
        <v>189</v>
      </c>
      <c r="B379" s="121"/>
      <c r="C379" s="121"/>
      <c r="D379" s="121"/>
      <c r="E379" s="121"/>
      <c r="F379" s="121">
        <f>G379</f>
        <v>654</v>
      </c>
      <c r="G379" s="121">
        <v>654</v>
      </c>
      <c r="H379" s="121"/>
      <c r="I379" s="121">
        <f>J379</f>
        <v>742</v>
      </c>
      <c r="J379" s="121">
        <v>742</v>
      </c>
      <c r="K379" s="119"/>
    </row>
    <row r="380" spans="1:11" ht="26.25" customHeight="1" x14ac:dyDescent="0.3">
      <c r="A380" s="258" t="s">
        <v>80</v>
      </c>
      <c r="B380" s="121"/>
      <c r="C380" s="121"/>
      <c r="D380" s="121"/>
      <c r="E380" s="121"/>
      <c r="F380" s="121"/>
      <c r="G380" s="121"/>
      <c r="H380" s="121"/>
      <c r="I380" s="121"/>
      <c r="J380" s="121"/>
      <c r="K380" s="119"/>
    </row>
    <row r="381" spans="1:11" ht="58.5" customHeight="1" x14ac:dyDescent="0.3">
      <c r="A381" s="125" t="s">
        <v>188</v>
      </c>
      <c r="B381" s="121"/>
      <c r="C381" s="121"/>
      <c r="D381" s="121"/>
      <c r="E381" s="121"/>
      <c r="F381" s="121">
        <f>G381</f>
        <v>3358.7155963302753</v>
      </c>
      <c r="G381" s="121">
        <f>G377/G379</f>
        <v>3358.7155963302753</v>
      </c>
      <c r="H381" s="121"/>
      <c r="I381" s="121">
        <f>J381</f>
        <v>3956.1994609164421</v>
      </c>
      <c r="J381" s="121">
        <f>J377/J379</f>
        <v>3956.1994609164421</v>
      </c>
      <c r="K381" s="119"/>
    </row>
    <row r="382" spans="1:11" ht="33.75" customHeight="1" x14ac:dyDescent="0.3">
      <c r="A382" s="135" t="s">
        <v>81</v>
      </c>
      <c r="B382" s="121"/>
      <c r="C382" s="121"/>
      <c r="D382" s="121"/>
      <c r="E382" s="121"/>
      <c r="F382" s="121"/>
      <c r="G382" s="121"/>
      <c r="H382" s="121"/>
      <c r="I382" s="121"/>
      <c r="J382" s="121"/>
      <c r="K382" s="119"/>
    </row>
    <row r="383" spans="1:11" ht="72" customHeight="1" x14ac:dyDescent="0.3">
      <c r="A383" s="120" t="s">
        <v>187</v>
      </c>
      <c r="B383" s="121"/>
      <c r="C383" s="121"/>
      <c r="D383" s="121"/>
      <c r="E383" s="121"/>
      <c r="F383" s="121">
        <f>G383</f>
        <v>106.54831199068684</v>
      </c>
      <c r="G383" s="121">
        <f>G377/D368*100</f>
        <v>106.54831199068684</v>
      </c>
      <c r="H383" s="121"/>
      <c r="I383" s="121">
        <f>J383</f>
        <v>133.63835017754712</v>
      </c>
      <c r="J383" s="121">
        <f>J377/G377*100</f>
        <v>133.63835017754712</v>
      </c>
      <c r="K383" s="119"/>
    </row>
    <row r="384" spans="1:11" ht="28.5" customHeight="1" x14ac:dyDescent="0.3">
      <c r="A384" s="492" t="s">
        <v>466</v>
      </c>
      <c r="B384" s="493"/>
      <c r="C384" s="493"/>
      <c r="D384" s="493"/>
      <c r="E384" s="493"/>
      <c r="F384" s="493"/>
      <c r="G384" s="493"/>
      <c r="H384" s="493"/>
      <c r="I384" s="493"/>
      <c r="J384" s="493"/>
      <c r="K384" s="494"/>
    </row>
    <row r="385" spans="1:11" ht="28.5" customHeight="1" x14ac:dyDescent="0.3">
      <c r="A385" s="258" t="s">
        <v>77</v>
      </c>
      <c r="B385" s="258"/>
      <c r="C385" s="258"/>
      <c r="D385" s="120"/>
      <c r="E385" s="258"/>
      <c r="F385" s="258"/>
      <c r="G385" s="258"/>
      <c r="H385" s="258"/>
      <c r="I385" s="258"/>
      <c r="J385" s="258"/>
      <c r="K385" s="258"/>
    </row>
    <row r="386" spans="1:11" ht="28.5" customHeight="1" x14ac:dyDescent="0.3">
      <c r="A386" s="120" t="s">
        <v>241</v>
      </c>
      <c r="B386" s="119">
        <f>C386+F386+I386</f>
        <v>364800</v>
      </c>
      <c r="C386" s="119">
        <f>D386+E386</f>
        <v>364800</v>
      </c>
      <c r="D386" s="121">
        <f>Дод.3!I175*1000</f>
        <v>364800</v>
      </c>
      <c r="E386" s="119"/>
      <c r="F386" s="119"/>
      <c r="G386" s="119"/>
      <c r="H386" s="119"/>
      <c r="I386" s="119"/>
      <c r="J386" s="119"/>
      <c r="K386" s="119"/>
    </row>
    <row r="387" spans="1:11" ht="28.5" customHeight="1" x14ac:dyDescent="0.3">
      <c r="A387" s="258" t="s">
        <v>79</v>
      </c>
      <c r="B387" s="121"/>
      <c r="C387" s="121"/>
      <c r="D387" s="121"/>
      <c r="E387" s="121"/>
      <c r="F387" s="121"/>
      <c r="G387" s="121"/>
      <c r="H387" s="121"/>
      <c r="I387" s="121"/>
      <c r="J387" s="121"/>
      <c r="K387" s="119"/>
    </row>
    <row r="388" spans="1:11" ht="28.5" customHeight="1" x14ac:dyDescent="0.3">
      <c r="A388" s="120" t="s">
        <v>78</v>
      </c>
      <c r="B388" s="121"/>
      <c r="C388" s="121">
        <f>D388</f>
        <v>1</v>
      </c>
      <c r="D388" s="121">
        <v>1</v>
      </c>
      <c r="E388" s="121"/>
      <c r="F388" s="121"/>
      <c r="G388" s="121"/>
      <c r="H388" s="121"/>
      <c r="I388" s="121"/>
      <c r="J388" s="121"/>
      <c r="K388" s="119"/>
    </row>
    <row r="389" spans="1:11" ht="60" customHeight="1" x14ac:dyDescent="0.3">
      <c r="A389" s="120" t="s">
        <v>84</v>
      </c>
      <c r="B389" s="121"/>
      <c r="C389" s="121">
        <f>D389</f>
        <v>99</v>
      </c>
      <c r="D389" s="121">
        <v>99</v>
      </c>
      <c r="E389" s="121"/>
      <c r="F389" s="121"/>
      <c r="G389" s="121"/>
      <c r="H389" s="121"/>
      <c r="I389" s="121"/>
      <c r="J389" s="121"/>
      <c r="K389" s="119"/>
    </row>
    <row r="390" spans="1:11" ht="60.75" customHeight="1" x14ac:dyDescent="0.3">
      <c r="A390" s="120" t="s">
        <v>323</v>
      </c>
      <c r="B390" s="121"/>
      <c r="C390" s="121">
        <f>D390</f>
        <v>4</v>
      </c>
      <c r="D390" s="121">
        <v>4</v>
      </c>
      <c r="E390" s="121"/>
      <c r="F390" s="121"/>
      <c r="G390" s="121"/>
      <c r="H390" s="121"/>
      <c r="I390" s="121"/>
      <c r="J390" s="121"/>
      <c r="K390" s="119"/>
    </row>
    <row r="391" spans="1:11" ht="28.5" customHeight="1" x14ac:dyDescent="0.3">
      <c r="A391" s="258" t="s">
        <v>80</v>
      </c>
      <c r="B391" s="121"/>
      <c r="C391" s="121"/>
      <c r="D391" s="121"/>
      <c r="E391" s="121"/>
      <c r="F391" s="121"/>
      <c r="G391" s="121"/>
      <c r="H391" s="121"/>
      <c r="I391" s="121"/>
      <c r="J391" s="121"/>
      <c r="K391" s="119"/>
    </row>
    <row r="392" spans="1:11" ht="59.25" customHeight="1" x14ac:dyDescent="0.3">
      <c r="A392" s="125" t="s">
        <v>325</v>
      </c>
      <c r="B392" s="121"/>
      <c r="C392" s="121">
        <f>D392</f>
        <v>3030.3030303030305</v>
      </c>
      <c r="D392" s="121">
        <f>300000/99</f>
        <v>3030.3030303030305</v>
      </c>
      <c r="E392" s="121"/>
      <c r="F392" s="121"/>
      <c r="G392" s="121"/>
      <c r="H392" s="121"/>
      <c r="I392" s="121"/>
      <c r="J392" s="121"/>
      <c r="K392" s="119"/>
    </row>
    <row r="393" spans="1:11" ht="54" customHeight="1" x14ac:dyDescent="0.3">
      <c r="A393" s="125" t="s">
        <v>324</v>
      </c>
      <c r="B393" s="121"/>
      <c r="C393" s="121">
        <f>D393</f>
        <v>16200</v>
      </c>
      <c r="D393" s="121">
        <f>64800/4</f>
        <v>16200</v>
      </c>
      <c r="E393" s="121"/>
      <c r="F393" s="121"/>
      <c r="G393" s="121"/>
      <c r="H393" s="121"/>
      <c r="I393" s="121"/>
      <c r="J393" s="121"/>
      <c r="K393" s="119"/>
    </row>
    <row r="394" spans="1:11" ht="28.5" customHeight="1" x14ac:dyDescent="0.3">
      <c r="A394" s="136" t="s">
        <v>81</v>
      </c>
      <c r="B394" s="121"/>
      <c r="C394" s="121"/>
      <c r="D394" s="121"/>
      <c r="E394" s="121"/>
      <c r="F394" s="121"/>
      <c r="G394" s="121"/>
      <c r="H394" s="121"/>
      <c r="I394" s="121"/>
      <c r="J394" s="121"/>
      <c r="K394" s="119"/>
    </row>
    <row r="395" spans="1:11" ht="47.25" customHeight="1" x14ac:dyDescent="0.3">
      <c r="A395" s="125" t="s">
        <v>326</v>
      </c>
      <c r="B395" s="121"/>
      <c r="C395" s="121">
        <f>D395</f>
        <v>100</v>
      </c>
      <c r="D395" s="121">
        <v>100</v>
      </c>
      <c r="E395" s="121"/>
      <c r="F395" s="121"/>
      <c r="G395" s="121"/>
      <c r="H395" s="121"/>
      <c r="I395" s="121"/>
      <c r="J395" s="121"/>
      <c r="K395" s="119"/>
    </row>
    <row r="396" spans="1:11" ht="60.75" customHeight="1" x14ac:dyDescent="0.3">
      <c r="A396" s="125" t="s">
        <v>326</v>
      </c>
      <c r="B396" s="121"/>
      <c r="C396" s="121">
        <f>D396</f>
        <v>100</v>
      </c>
      <c r="D396" s="121">
        <v>100</v>
      </c>
      <c r="E396" s="121"/>
      <c r="F396" s="121"/>
      <c r="G396" s="121"/>
      <c r="H396" s="121"/>
      <c r="I396" s="121"/>
      <c r="J396" s="121"/>
      <c r="K396" s="119"/>
    </row>
    <row r="397" spans="1:11" ht="51" customHeight="1" x14ac:dyDescent="0.3">
      <c r="A397" s="498" t="s">
        <v>467</v>
      </c>
      <c r="B397" s="499"/>
      <c r="C397" s="499"/>
      <c r="D397" s="499"/>
      <c r="E397" s="499"/>
      <c r="F397" s="499"/>
      <c r="G397" s="499"/>
      <c r="H397" s="499"/>
      <c r="I397" s="499"/>
      <c r="J397" s="499"/>
      <c r="K397" s="500"/>
    </row>
    <row r="398" spans="1:11" ht="37.5" customHeight="1" x14ac:dyDescent="0.3">
      <c r="A398" s="258" t="s">
        <v>77</v>
      </c>
      <c r="B398" s="121"/>
      <c r="C398" s="121"/>
      <c r="D398" s="121"/>
      <c r="E398" s="121"/>
      <c r="F398" s="121"/>
      <c r="G398" s="121"/>
      <c r="H398" s="121"/>
      <c r="I398" s="121"/>
      <c r="J398" s="121"/>
      <c r="K398" s="119"/>
    </row>
    <row r="399" spans="1:11" ht="26.25" customHeight="1" x14ac:dyDescent="0.3">
      <c r="A399" s="120" t="s">
        <v>241</v>
      </c>
      <c r="B399" s="119">
        <f>F399+I399</f>
        <v>631700</v>
      </c>
      <c r="C399" s="119"/>
      <c r="D399" s="119"/>
      <c r="E399" s="119"/>
      <c r="F399" s="119">
        <f>G399</f>
        <v>300000</v>
      </c>
      <c r="G399" s="119">
        <f>Дод.3!J176*1000</f>
        <v>300000</v>
      </c>
      <c r="H399" s="119"/>
      <c r="I399" s="119">
        <f>J399</f>
        <v>331700</v>
      </c>
      <c r="J399" s="119">
        <f>Дод.3!K176*1000</f>
        <v>331700</v>
      </c>
      <c r="K399" s="119"/>
    </row>
    <row r="400" spans="1:11" ht="30" customHeight="1" x14ac:dyDescent="0.3">
      <c r="A400" s="258" t="s">
        <v>79</v>
      </c>
      <c r="B400" s="121"/>
      <c r="C400" s="121"/>
      <c r="D400" s="121"/>
      <c r="E400" s="121"/>
      <c r="F400" s="121"/>
      <c r="G400" s="121"/>
      <c r="H400" s="121"/>
      <c r="I400" s="121"/>
      <c r="J400" s="121"/>
      <c r="K400" s="119"/>
    </row>
    <row r="401" spans="1:11" ht="32.25" customHeight="1" x14ac:dyDescent="0.3">
      <c r="A401" s="120" t="s">
        <v>78</v>
      </c>
      <c r="B401" s="121"/>
      <c r="C401" s="121"/>
      <c r="D401" s="121"/>
      <c r="E401" s="121"/>
      <c r="F401" s="121">
        <f t="shared" ref="F401:F408" si="15">G401</f>
        <v>1</v>
      </c>
      <c r="G401" s="121">
        <v>1</v>
      </c>
      <c r="H401" s="121"/>
      <c r="I401" s="121">
        <f>J401</f>
        <v>1</v>
      </c>
      <c r="J401" s="121">
        <v>1</v>
      </c>
      <c r="K401" s="119"/>
    </row>
    <row r="402" spans="1:11" ht="51" customHeight="1" x14ac:dyDescent="0.3">
      <c r="A402" s="120" t="s">
        <v>84</v>
      </c>
      <c r="B402" s="121"/>
      <c r="C402" s="121"/>
      <c r="D402" s="121"/>
      <c r="E402" s="121"/>
      <c r="F402" s="121">
        <f t="shared" si="15"/>
        <v>85</v>
      </c>
      <c r="G402" s="121">
        <v>85</v>
      </c>
      <c r="H402" s="121"/>
      <c r="I402" s="121">
        <f>J402</f>
        <v>85</v>
      </c>
      <c r="J402" s="121">
        <v>85</v>
      </c>
      <c r="K402" s="119"/>
    </row>
    <row r="403" spans="1:11" ht="51" customHeight="1" x14ac:dyDescent="0.3">
      <c r="A403" s="120" t="s">
        <v>323</v>
      </c>
      <c r="B403" s="121"/>
      <c r="C403" s="121"/>
      <c r="D403" s="121"/>
      <c r="E403" s="121"/>
      <c r="F403" s="121"/>
      <c r="G403" s="121"/>
      <c r="H403" s="121"/>
      <c r="I403" s="121"/>
      <c r="J403" s="121"/>
      <c r="K403" s="119"/>
    </row>
    <row r="404" spans="1:11" ht="30" customHeight="1" x14ac:dyDescent="0.3">
      <c r="A404" s="258" t="s">
        <v>80</v>
      </c>
      <c r="B404" s="121"/>
      <c r="C404" s="121"/>
      <c r="D404" s="121"/>
      <c r="E404" s="121"/>
      <c r="F404" s="121"/>
      <c r="G404" s="121"/>
      <c r="H404" s="121"/>
      <c r="I404" s="121"/>
      <c r="J404" s="121"/>
      <c r="K404" s="119"/>
    </row>
    <row r="405" spans="1:11" ht="51" customHeight="1" x14ac:dyDescent="0.3">
      <c r="A405" s="125" t="s">
        <v>325</v>
      </c>
      <c r="B405" s="121"/>
      <c r="C405" s="121"/>
      <c r="D405" s="121"/>
      <c r="E405" s="121"/>
      <c r="F405" s="121">
        <f t="shared" si="15"/>
        <v>3529</v>
      </c>
      <c r="G405" s="121">
        <v>3529</v>
      </c>
      <c r="H405" s="121"/>
      <c r="I405" s="121">
        <f>J405</f>
        <v>3529</v>
      </c>
      <c r="J405" s="121">
        <v>3529</v>
      </c>
      <c r="K405" s="119"/>
    </row>
    <row r="406" spans="1:11" ht="51" customHeight="1" x14ac:dyDescent="0.3">
      <c r="A406" s="125" t="s">
        <v>324</v>
      </c>
      <c r="B406" s="121"/>
      <c r="C406" s="121"/>
      <c r="D406" s="121"/>
      <c r="E406" s="121"/>
      <c r="F406" s="121"/>
      <c r="G406" s="121"/>
      <c r="H406" s="121"/>
      <c r="I406" s="121"/>
      <c r="J406" s="121"/>
      <c r="K406" s="119"/>
    </row>
    <row r="407" spans="1:11" ht="33.75" customHeight="1" x14ac:dyDescent="0.3">
      <c r="A407" s="136" t="s">
        <v>81</v>
      </c>
      <c r="B407" s="121"/>
      <c r="C407" s="121"/>
      <c r="D407" s="121"/>
      <c r="E407" s="121"/>
      <c r="F407" s="121"/>
      <c r="G407" s="121"/>
      <c r="H407" s="121"/>
      <c r="I407" s="121"/>
      <c r="J407" s="121"/>
      <c r="K407" s="119"/>
    </row>
    <row r="408" spans="1:11" ht="62.25" customHeight="1" x14ac:dyDescent="0.3">
      <c r="A408" s="125" t="s">
        <v>326</v>
      </c>
      <c r="B408" s="121"/>
      <c r="C408" s="121"/>
      <c r="D408" s="121"/>
      <c r="E408" s="121"/>
      <c r="F408" s="121">
        <f t="shared" si="15"/>
        <v>100</v>
      </c>
      <c r="G408" s="121">
        <v>100</v>
      </c>
      <c r="H408" s="121"/>
      <c r="I408" s="121">
        <f>J408</f>
        <v>100</v>
      </c>
      <c r="J408" s="121">
        <v>100</v>
      </c>
      <c r="K408" s="119"/>
    </row>
    <row r="409" spans="1:11" ht="57.75" customHeight="1" x14ac:dyDescent="0.3">
      <c r="A409" s="125" t="s">
        <v>326</v>
      </c>
      <c r="B409" s="121"/>
      <c r="C409" s="121"/>
      <c r="D409" s="121"/>
      <c r="E409" s="121"/>
      <c r="F409" s="121"/>
      <c r="G409" s="121"/>
      <c r="H409" s="121"/>
      <c r="I409" s="121"/>
      <c r="J409" s="121"/>
      <c r="K409" s="119"/>
    </row>
    <row r="410" spans="1:11" ht="43.5" customHeight="1" x14ac:dyDescent="0.3">
      <c r="A410" s="506" t="s">
        <v>128</v>
      </c>
      <c r="B410" s="506"/>
      <c r="C410" s="506"/>
      <c r="D410" s="506"/>
      <c r="E410" s="506"/>
      <c r="F410" s="506"/>
      <c r="G410" s="506"/>
      <c r="H410" s="506"/>
      <c r="I410" s="506"/>
      <c r="J410" s="506"/>
      <c r="K410" s="506"/>
    </row>
    <row r="411" spans="1:11" ht="42" customHeight="1" x14ac:dyDescent="0.3">
      <c r="A411" s="262" t="s">
        <v>242</v>
      </c>
      <c r="B411" s="119">
        <f>B415+B433+B451+B458</f>
        <v>29062000</v>
      </c>
      <c r="C411" s="119">
        <f>D411+E411</f>
        <v>19491400</v>
      </c>
      <c r="D411" s="119">
        <f>D415+D451</f>
        <v>2954300</v>
      </c>
      <c r="E411" s="119">
        <f>E458</f>
        <v>16537099.999999998</v>
      </c>
      <c r="F411" s="119">
        <f>G411+H411</f>
        <v>5577325</v>
      </c>
      <c r="G411" s="119">
        <f>G433</f>
        <v>3813000</v>
      </c>
      <c r="H411" s="119">
        <f>H458+H433</f>
        <v>1764325</v>
      </c>
      <c r="I411" s="119">
        <f>J411+K411</f>
        <v>3993400</v>
      </c>
      <c r="J411" s="119">
        <f>J433</f>
        <v>3993400</v>
      </c>
      <c r="K411" s="119">
        <f>K414</f>
        <v>0</v>
      </c>
    </row>
    <row r="412" spans="1:11" ht="28.5" customHeight="1" x14ac:dyDescent="0.3">
      <c r="A412" s="266" t="s">
        <v>271</v>
      </c>
      <c r="B412" s="259"/>
      <c r="C412" s="259"/>
      <c r="D412" s="259"/>
      <c r="E412" s="259"/>
      <c r="F412" s="259"/>
      <c r="G412" s="259"/>
      <c r="H412" s="259"/>
      <c r="I412" s="259"/>
      <c r="J412" s="259"/>
      <c r="K412" s="260"/>
    </row>
    <row r="413" spans="1:11" ht="57" customHeight="1" x14ac:dyDescent="0.3">
      <c r="A413" s="495" t="s">
        <v>468</v>
      </c>
      <c r="B413" s="496"/>
      <c r="C413" s="496"/>
      <c r="D413" s="496"/>
      <c r="E413" s="496"/>
      <c r="F413" s="496"/>
      <c r="G413" s="496"/>
      <c r="H413" s="496"/>
      <c r="I413" s="496"/>
      <c r="J413" s="496"/>
      <c r="K413" s="497"/>
    </row>
    <row r="414" spans="1:11" ht="28.5" customHeight="1" x14ac:dyDescent="0.3">
      <c r="A414" s="258" t="s">
        <v>77</v>
      </c>
      <c r="B414" s="258"/>
      <c r="C414" s="258"/>
      <c r="D414" s="258"/>
      <c r="E414" s="258"/>
      <c r="F414" s="120"/>
      <c r="G414" s="120"/>
      <c r="H414" s="258"/>
      <c r="I414" s="258"/>
      <c r="J414" s="258"/>
      <c r="K414" s="258"/>
    </row>
    <row r="415" spans="1:11" ht="28.5" customHeight="1" x14ac:dyDescent="0.3">
      <c r="A415" s="120" t="s">
        <v>243</v>
      </c>
      <c r="B415" s="119">
        <f>C415+F415+I415</f>
        <v>2933100</v>
      </c>
      <c r="C415" s="119">
        <f>D415+E415</f>
        <v>2933100</v>
      </c>
      <c r="D415" s="119">
        <f>Дод.3!I186*1000</f>
        <v>2933100</v>
      </c>
      <c r="E415" s="119"/>
      <c r="F415" s="119"/>
      <c r="G415" s="119"/>
      <c r="H415" s="119"/>
      <c r="I415" s="119"/>
      <c r="J415" s="119"/>
      <c r="K415" s="119"/>
    </row>
    <row r="416" spans="1:11" ht="28.5" customHeight="1" x14ac:dyDescent="0.3">
      <c r="A416" s="120" t="s">
        <v>177</v>
      </c>
      <c r="B416" s="119"/>
      <c r="C416" s="119">
        <v>2</v>
      </c>
      <c r="D416" s="119">
        <v>2</v>
      </c>
      <c r="E416" s="119"/>
      <c r="F416" s="119"/>
      <c r="G416" s="119"/>
      <c r="H416" s="119"/>
      <c r="I416" s="119"/>
      <c r="J416" s="119"/>
      <c r="K416" s="119"/>
    </row>
    <row r="417" spans="1:11" ht="28.5" customHeight="1" x14ac:dyDescent="0.3">
      <c r="A417" s="120" t="s">
        <v>297</v>
      </c>
      <c r="B417" s="119"/>
      <c r="C417" s="121">
        <f>D417</f>
        <v>1</v>
      </c>
      <c r="D417" s="121">
        <v>1</v>
      </c>
      <c r="E417" s="119"/>
      <c r="F417" s="121"/>
      <c r="G417" s="121"/>
      <c r="H417" s="119"/>
      <c r="I417" s="121"/>
      <c r="J417" s="121"/>
      <c r="K417" s="119"/>
    </row>
    <row r="418" spans="1:11" ht="28.5" customHeight="1" x14ac:dyDescent="0.3">
      <c r="A418" s="120" t="s">
        <v>298</v>
      </c>
      <c r="B418" s="119"/>
      <c r="C418" s="121">
        <v>1</v>
      </c>
      <c r="D418" s="121">
        <v>1</v>
      </c>
      <c r="E418" s="119"/>
      <c r="F418" s="121"/>
      <c r="G418" s="121"/>
      <c r="H418" s="119"/>
      <c r="I418" s="121"/>
      <c r="J418" s="121"/>
      <c r="K418" s="119"/>
    </row>
    <row r="419" spans="1:11" ht="28.5" customHeight="1" x14ac:dyDescent="0.3">
      <c r="A419" s="120" t="s">
        <v>244</v>
      </c>
      <c r="B419" s="119"/>
      <c r="C419" s="121">
        <f>C420+C421</f>
        <v>21</v>
      </c>
      <c r="D419" s="121">
        <f>D420+D421</f>
        <v>21</v>
      </c>
      <c r="E419" s="121"/>
      <c r="F419" s="121"/>
      <c r="G419" s="121"/>
      <c r="H419" s="121"/>
      <c r="I419" s="121"/>
      <c r="J419" s="121"/>
      <c r="K419" s="119"/>
    </row>
    <row r="420" spans="1:11" ht="28.5" customHeight="1" x14ac:dyDescent="0.3">
      <c r="A420" s="120" t="s">
        <v>201</v>
      </c>
      <c r="B420" s="119"/>
      <c r="C420" s="121">
        <f t="shared" ref="C420:C430" si="16">D420</f>
        <v>10</v>
      </c>
      <c r="D420" s="121">
        <v>10</v>
      </c>
      <c r="E420" s="119"/>
      <c r="F420" s="121"/>
      <c r="G420" s="121"/>
      <c r="H420" s="119"/>
      <c r="I420" s="121"/>
      <c r="J420" s="121"/>
      <c r="K420" s="119"/>
    </row>
    <row r="421" spans="1:11" ht="28.5" customHeight="1" x14ac:dyDescent="0.3">
      <c r="A421" s="120" t="s">
        <v>202</v>
      </c>
      <c r="B421" s="119"/>
      <c r="C421" s="121">
        <f t="shared" si="16"/>
        <v>11</v>
      </c>
      <c r="D421" s="121">
        <v>11</v>
      </c>
      <c r="E421" s="119"/>
      <c r="F421" s="121"/>
      <c r="G421" s="121"/>
      <c r="H421" s="119"/>
      <c r="I421" s="121"/>
      <c r="J421" s="121"/>
      <c r="K421" s="119"/>
    </row>
    <row r="422" spans="1:11" ht="28.5" customHeight="1" x14ac:dyDescent="0.3">
      <c r="A422" s="258" t="s">
        <v>79</v>
      </c>
      <c r="B422" s="121"/>
      <c r="C422" s="121"/>
      <c r="D422" s="121"/>
      <c r="E422" s="121"/>
      <c r="F422" s="121"/>
      <c r="G422" s="121"/>
      <c r="H422" s="121"/>
      <c r="I422" s="121"/>
      <c r="J422" s="121"/>
      <c r="K422" s="119"/>
    </row>
    <row r="423" spans="1:11" ht="54.75" customHeight="1" x14ac:dyDescent="0.3">
      <c r="A423" s="120" t="s">
        <v>299</v>
      </c>
      <c r="B423" s="121"/>
      <c r="C423" s="121">
        <f t="shared" si="16"/>
        <v>9</v>
      </c>
      <c r="D423" s="124">
        <v>9</v>
      </c>
      <c r="E423" s="121"/>
      <c r="F423" s="121"/>
      <c r="G423" s="124"/>
      <c r="H423" s="121"/>
      <c r="I423" s="121"/>
      <c r="J423" s="124"/>
      <c r="K423" s="119"/>
    </row>
    <row r="424" spans="1:11" ht="53.25" customHeight="1" x14ac:dyDescent="0.3">
      <c r="A424" s="120" t="s">
        <v>300</v>
      </c>
      <c r="B424" s="121"/>
      <c r="C424" s="121">
        <f t="shared" si="16"/>
        <v>800</v>
      </c>
      <c r="D424" s="124">
        <v>800</v>
      </c>
      <c r="E424" s="121"/>
      <c r="F424" s="121"/>
      <c r="G424" s="124"/>
      <c r="H424" s="121"/>
      <c r="I424" s="121"/>
      <c r="J424" s="124"/>
      <c r="K424" s="119"/>
    </row>
    <row r="425" spans="1:11" ht="28.5" customHeight="1" x14ac:dyDescent="0.3">
      <c r="A425" s="120" t="s">
        <v>301</v>
      </c>
      <c r="B425" s="121"/>
      <c r="C425" s="121">
        <f t="shared" si="16"/>
        <v>42</v>
      </c>
      <c r="D425" s="124">
        <v>42</v>
      </c>
      <c r="E425" s="121"/>
      <c r="F425" s="121"/>
      <c r="G425" s="124"/>
      <c r="H425" s="121"/>
      <c r="I425" s="121"/>
      <c r="J425" s="124"/>
      <c r="K425" s="119"/>
    </row>
    <row r="426" spans="1:11" ht="83.25" customHeight="1" x14ac:dyDescent="0.3">
      <c r="A426" s="120" t="s">
        <v>190</v>
      </c>
      <c r="B426" s="121"/>
      <c r="C426" s="121">
        <f t="shared" si="16"/>
        <v>220</v>
      </c>
      <c r="D426" s="124">
        <v>220</v>
      </c>
      <c r="E426" s="121"/>
      <c r="F426" s="121"/>
      <c r="G426" s="124"/>
      <c r="H426" s="121"/>
      <c r="I426" s="121"/>
      <c r="J426" s="124"/>
      <c r="K426" s="119"/>
    </row>
    <row r="427" spans="1:11" ht="28.5" customHeight="1" x14ac:dyDescent="0.3">
      <c r="A427" s="258" t="s">
        <v>80</v>
      </c>
      <c r="B427" s="121"/>
      <c r="C427" s="121"/>
      <c r="D427" s="121"/>
      <c r="E427" s="121"/>
      <c r="F427" s="121"/>
      <c r="G427" s="121"/>
      <c r="H427" s="121"/>
      <c r="I427" s="121"/>
      <c r="J427" s="121"/>
      <c r="K427" s="119"/>
    </row>
    <row r="428" spans="1:11" ht="58.5" customHeight="1" x14ac:dyDescent="0.3">
      <c r="A428" s="120" t="s">
        <v>192</v>
      </c>
      <c r="B428" s="121"/>
      <c r="C428" s="121">
        <f t="shared" si="16"/>
        <v>80</v>
      </c>
      <c r="D428" s="121">
        <f>D424/D420</f>
        <v>80</v>
      </c>
      <c r="E428" s="121"/>
      <c r="F428" s="121"/>
      <c r="G428" s="121"/>
      <c r="H428" s="121"/>
      <c r="I428" s="121"/>
      <c r="J428" s="121"/>
      <c r="K428" s="119"/>
    </row>
    <row r="429" spans="1:11" ht="60.75" customHeight="1" x14ac:dyDescent="0.3">
      <c r="A429" s="120" t="s">
        <v>191</v>
      </c>
      <c r="B429" s="121"/>
      <c r="C429" s="121">
        <f t="shared" si="16"/>
        <v>4.2</v>
      </c>
      <c r="D429" s="121">
        <f>D425/D420</f>
        <v>4.2</v>
      </c>
      <c r="E429" s="121"/>
      <c r="F429" s="121"/>
      <c r="G429" s="121"/>
      <c r="H429" s="121"/>
      <c r="I429" s="121"/>
      <c r="J429" s="121"/>
      <c r="K429" s="119"/>
    </row>
    <row r="430" spans="1:11" ht="79.5" customHeight="1" x14ac:dyDescent="0.3">
      <c r="A430" s="120" t="s">
        <v>193</v>
      </c>
      <c r="B430" s="121"/>
      <c r="C430" s="121">
        <f t="shared" si="16"/>
        <v>20</v>
      </c>
      <c r="D430" s="121">
        <f>D426/D421</f>
        <v>20</v>
      </c>
      <c r="E430" s="121"/>
      <c r="F430" s="121"/>
      <c r="G430" s="121"/>
      <c r="H430" s="121"/>
      <c r="I430" s="121"/>
      <c r="J430" s="121"/>
      <c r="K430" s="119"/>
    </row>
    <row r="431" spans="1:11" ht="54.75" customHeight="1" x14ac:dyDescent="0.3">
      <c r="A431" s="495" t="s">
        <v>469</v>
      </c>
      <c r="B431" s="496"/>
      <c r="C431" s="496"/>
      <c r="D431" s="496"/>
      <c r="E431" s="496"/>
      <c r="F431" s="496"/>
      <c r="G431" s="496"/>
      <c r="H431" s="496"/>
      <c r="I431" s="496"/>
      <c r="J431" s="496"/>
      <c r="K431" s="497"/>
    </row>
    <row r="432" spans="1:11" ht="32.25" customHeight="1" x14ac:dyDescent="0.3">
      <c r="A432" s="258" t="s">
        <v>77</v>
      </c>
      <c r="B432" s="121"/>
      <c r="C432" s="121"/>
      <c r="D432" s="121"/>
      <c r="E432" s="121"/>
      <c r="F432" s="121"/>
      <c r="G432" s="121"/>
      <c r="H432" s="121"/>
      <c r="I432" s="121"/>
      <c r="J432" s="121"/>
      <c r="K432" s="119"/>
    </row>
    <row r="433" spans="1:11" ht="32.25" customHeight="1" x14ac:dyDescent="0.3">
      <c r="A433" s="120" t="s">
        <v>243</v>
      </c>
      <c r="B433" s="119">
        <f>F433+I433</f>
        <v>7806400</v>
      </c>
      <c r="C433" s="119"/>
      <c r="D433" s="119"/>
      <c r="E433" s="119"/>
      <c r="F433" s="119">
        <f>G433</f>
        <v>3813000</v>
      </c>
      <c r="G433" s="119">
        <f>Дод.3!J187*1000</f>
        <v>3813000</v>
      </c>
      <c r="H433" s="119">
        <f>Дод.3!J188*1000</f>
        <v>125</v>
      </c>
      <c r="I433" s="119">
        <f>J433</f>
        <v>3993400</v>
      </c>
      <c r="J433" s="119">
        <f>Дод.3!K187*1000</f>
        <v>3993400</v>
      </c>
      <c r="K433" s="119"/>
    </row>
    <row r="434" spans="1:11" ht="32.25" customHeight="1" x14ac:dyDescent="0.3">
      <c r="A434" s="120" t="s">
        <v>177</v>
      </c>
      <c r="B434" s="121"/>
      <c r="C434" s="121"/>
      <c r="D434" s="121"/>
      <c r="E434" s="121"/>
      <c r="F434" s="121">
        <f t="shared" ref="F434:F448" si="17">G434</f>
        <v>2</v>
      </c>
      <c r="G434" s="119">
        <v>2</v>
      </c>
      <c r="H434" s="121"/>
      <c r="I434" s="121">
        <f t="shared" ref="I434:I448" si="18">J434</f>
        <v>2</v>
      </c>
      <c r="J434" s="119">
        <v>2</v>
      </c>
      <c r="K434" s="119"/>
    </row>
    <row r="435" spans="1:11" ht="32.25" customHeight="1" x14ac:dyDescent="0.3">
      <c r="A435" s="120" t="s">
        <v>297</v>
      </c>
      <c r="B435" s="121"/>
      <c r="C435" s="121"/>
      <c r="D435" s="121"/>
      <c r="E435" s="121"/>
      <c r="F435" s="121">
        <f t="shared" si="17"/>
        <v>1</v>
      </c>
      <c r="G435" s="121">
        <v>1</v>
      </c>
      <c r="H435" s="121"/>
      <c r="I435" s="121">
        <f t="shared" si="18"/>
        <v>1</v>
      </c>
      <c r="J435" s="121">
        <v>1</v>
      </c>
      <c r="K435" s="119"/>
    </row>
    <row r="436" spans="1:11" ht="32.25" customHeight="1" x14ac:dyDescent="0.3">
      <c r="A436" s="120" t="s">
        <v>298</v>
      </c>
      <c r="B436" s="121"/>
      <c r="C436" s="121"/>
      <c r="D436" s="121"/>
      <c r="E436" s="121"/>
      <c r="F436" s="121">
        <f t="shared" si="17"/>
        <v>1</v>
      </c>
      <c r="G436" s="121">
        <v>1</v>
      </c>
      <c r="H436" s="121"/>
      <c r="I436" s="121">
        <f t="shared" si="18"/>
        <v>1</v>
      </c>
      <c r="J436" s="121">
        <v>1</v>
      </c>
      <c r="K436" s="119"/>
    </row>
    <row r="437" spans="1:11" ht="32.25" customHeight="1" x14ac:dyDescent="0.3">
      <c r="A437" s="120" t="s">
        <v>244</v>
      </c>
      <c r="B437" s="121"/>
      <c r="C437" s="121"/>
      <c r="D437" s="121"/>
      <c r="E437" s="121"/>
      <c r="F437" s="121">
        <f t="shared" si="17"/>
        <v>21</v>
      </c>
      <c r="G437" s="121">
        <f>G438+G439</f>
        <v>21</v>
      </c>
      <c r="H437" s="121"/>
      <c r="I437" s="121">
        <f t="shared" si="18"/>
        <v>21</v>
      </c>
      <c r="J437" s="121">
        <f>J438+J439</f>
        <v>21</v>
      </c>
      <c r="K437" s="119"/>
    </row>
    <row r="438" spans="1:11" ht="32.25" customHeight="1" x14ac:dyDescent="0.3">
      <c r="A438" s="120" t="s">
        <v>201</v>
      </c>
      <c r="B438" s="121"/>
      <c r="C438" s="121"/>
      <c r="D438" s="121"/>
      <c r="E438" s="121"/>
      <c r="F438" s="121">
        <f t="shared" si="17"/>
        <v>10</v>
      </c>
      <c r="G438" s="121">
        <v>10</v>
      </c>
      <c r="H438" s="121"/>
      <c r="I438" s="121">
        <f t="shared" si="18"/>
        <v>10</v>
      </c>
      <c r="J438" s="121">
        <v>10</v>
      </c>
      <c r="K438" s="119"/>
    </row>
    <row r="439" spans="1:11" ht="32.25" customHeight="1" x14ac:dyDescent="0.3">
      <c r="A439" s="120" t="s">
        <v>202</v>
      </c>
      <c r="B439" s="121"/>
      <c r="C439" s="121"/>
      <c r="D439" s="121"/>
      <c r="E439" s="121"/>
      <c r="F439" s="121">
        <f t="shared" si="17"/>
        <v>11</v>
      </c>
      <c r="G439" s="121">
        <v>11</v>
      </c>
      <c r="H439" s="121"/>
      <c r="I439" s="121">
        <f t="shared" si="18"/>
        <v>11</v>
      </c>
      <c r="J439" s="121">
        <v>11</v>
      </c>
      <c r="K439" s="119"/>
    </row>
    <row r="440" spans="1:11" ht="32.25" customHeight="1" x14ac:dyDescent="0.3">
      <c r="A440" s="258" t="s">
        <v>79</v>
      </c>
      <c r="B440" s="121"/>
      <c r="C440" s="121"/>
      <c r="D440" s="121"/>
      <c r="E440" s="121"/>
      <c r="F440" s="121"/>
      <c r="G440" s="121"/>
      <c r="H440" s="121"/>
      <c r="I440" s="121"/>
      <c r="J440" s="121"/>
      <c r="K440" s="119"/>
    </row>
    <row r="441" spans="1:11" ht="62.25" customHeight="1" x14ac:dyDescent="0.3">
      <c r="A441" s="120" t="s">
        <v>299</v>
      </c>
      <c r="B441" s="121"/>
      <c r="C441" s="121"/>
      <c r="D441" s="121"/>
      <c r="E441" s="121"/>
      <c r="F441" s="121">
        <f t="shared" si="17"/>
        <v>9</v>
      </c>
      <c r="G441" s="124">
        <v>9</v>
      </c>
      <c r="H441" s="121"/>
      <c r="I441" s="121">
        <f t="shared" si="18"/>
        <v>9</v>
      </c>
      <c r="J441" s="124">
        <v>9</v>
      </c>
      <c r="K441" s="119"/>
    </row>
    <row r="442" spans="1:11" ht="69.75" customHeight="1" x14ac:dyDescent="0.3">
      <c r="A442" s="120" t="s">
        <v>300</v>
      </c>
      <c r="B442" s="121"/>
      <c r="C442" s="121"/>
      <c r="D442" s="121"/>
      <c r="E442" s="121"/>
      <c r="F442" s="121">
        <f t="shared" si="17"/>
        <v>800</v>
      </c>
      <c r="G442" s="124">
        <v>800</v>
      </c>
      <c r="H442" s="121"/>
      <c r="I442" s="121">
        <f t="shared" si="18"/>
        <v>800</v>
      </c>
      <c r="J442" s="124">
        <v>800</v>
      </c>
      <c r="K442" s="119"/>
    </row>
    <row r="443" spans="1:11" ht="24.75" customHeight="1" x14ac:dyDescent="0.3">
      <c r="A443" s="120" t="s">
        <v>301</v>
      </c>
      <c r="B443" s="121"/>
      <c r="C443" s="121"/>
      <c r="D443" s="121"/>
      <c r="E443" s="121"/>
      <c r="F443" s="121">
        <f t="shared" si="17"/>
        <v>42</v>
      </c>
      <c r="G443" s="124">
        <v>42</v>
      </c>
      <c r="H443" s="121"/>
      <c r="I443" s="121">
        <f t="shared" si="18"/>
        <v>42</v>
      </c>
      <c r="J443" s="124">
        <v>42</v>
      </c>
      <c r="K443" s="119"/>
    </row>
    <row r="444" spans="1:11" ht="73.5" customHeight="1" x14ac:dyDescent="0.3">
      <c r="A444" s="120" t="s">
        <v>190</v>
      </c>
      <c r="B444" s="121"/>
      <c r="C444" s="121"/>
      <c r="D444" s="121"/>
      <c r="E444" s="121"/>
      <c r="F444" s="121">
        <f t="shared" si="17"/>
        <v>220</v>
      </c>
      <c r="G444" s="124">
        <v>220</v>
      </c>
      <c r="H444" s="121"/>
      <c r="I444" s="121">
        <f t="shared" si="18"/>
        <v>220</v>
      </c>
      <c r="J444" s="124">
        <v>220</v>
      </c>
      <c r="K444" s="119"/>
    </row>
    <row r="445" spans="1:11" ht="32.25" customHeight="1" x14ac:dyDescent="0.3">
      <c r="A445" s="258" t="s">
        <v>80</v>
      </c>
      <c r="B445" s="121"/>
      <c r="C445" s="121"/>
      <c r="D445" s="121"/>
      <c r="E445" s="121"/>
      <c r="F445" s="121"/>
      <c r="G445" s="121"/>
      <c r="H445" s="121"/>
      <c r="I445" s="121"/>
      <c r="J445" s="121"/>
      <c r="K445" s="119"/>
    </row>
    <row r="446" spans="1:11" ht="68.25" customHeight="1" x14ac:dyDescent="0.3">
      <c r="A446" s="120" t="s">
        <v>192</v>
      </c>
      <c r="B446" s="121"/>
      <c r="C446" s="121"/>
      <c r="D446" s="121"/>
      <c r="E446" s="121"/>
      <c r="F446" s="121">
        <f t="shared" si="17"/>
        <v>80</v>
      </c>
      <c r="G446" s="121">
        <f>G442/G438</f>
        <v>80</v>
      </c>
      <c r="H446" s="121"/>
      <c r="I446" s="121">
        <f t="shared" si="18"/>
        <v>80</v>
      </c>
      <c r="J446" s="121">
        <f>J442/J438</f>
        <v>80</v>
      </c>
      <c r="K446" s="119"/>
    </row>
    <row r="447" spans="1:11" ht="75.75" customHeight="1" x14ac:dyDescent="0.3">
      <c r="A447" s="120" t="s">
        <v>191</v>
      </c>
      <c r="B447" s="121"/>
      <c r="C447" s="121"/>
      <c r="D447" s="121"/>
      <c r="E447" s="121"/>
      <c r="F447" s="121">
        <f t="shared" si="17"/>
        <v>4.2</v>
      </c>
      <c r="G447" s="121">
        <f>G443/G438</f>
        <v>4.2</v>
      </c>
      <c r="H447" s="121"/>
      <c r="I447" s="121">
        <f t="shared" si="18"/>
        <v>4.2</v>
      </c>
      <c r="J447" s="121">
        <f>J443/J438</f>
        <v>4.2</v>
      </c>
      <c r="K447" s="119"/>
    </row>
    <row r="448" spans="1:11" ht="88.5" customHeight="1" x14ac:dyDescent="0.3">
      <c r="A448" s="120" t="s">
        <v>193</v>
      </c>
      <c r="B448" s="121"/>
      <c r="C448" s="121"/>
      <c r="D448" s="121"/>
      <c r="E448" s="121"/>
      <c r="F448" s="121">
        <f t="shared" si="17"/>
        <v>20</v>
      </c>
      <c r="G448" s="121">
        <f>G444/G439</f>
        <v>20</v>
      </c>
      <c r="H448" s="121"/>
      <c r="I448" s="121">
        <f t="shared" si="18"/>
        <v>20</v>
      </c>
      <c r="J448" s="121">
        <f>J444/J439</f>
        <v>20</v>
      </c>
      <c r="K448" s="119"/>
    </row>
    <row r="449" spans="1:11" ht="32.25" customHeight="1" x14ac:dyDescent="0.3">
      <c r="A449" s="505" t="s">
        <v>470</v>
      </c>
      <c r="B449" s="505"/>
      <c r="C449" s="505"/>
      <c r="D449" s="505"/>
      <c r="E449" s="505"/>
      <c r="F449" s="505"/>
      <c r="G449" s="505"/>
      <c r="H449" s="505"/>
      <c r="I449" s="505"/>
      <c r="J449" s="505"/>
      <c r="K449" s="505"/>
    </row>
    <row r="450" spans="1:11" ht="32.25" customHeight="1" x14ac:dyDescent="0.3">
      <c r="A450" s="258" t="s">
        <v>77</v>
      </c>
      <c r="B450" s="121"/>
      <c r="C450" s="121"/>
      <c r="D450" s="121"/>
      <c r="E450" s="121"/>
      <c r="F450" s="121"/>
      <c r="G450" s="121"/>
      <c r="H450" s="121"/>
      <c r="I450" s="121"/>
      <c r="J450" s="121"/>
      <c r="K450" s="119"/>
    </row>
    <row r="451" spans="1:11" ht="32.25" customHeight="1" x14ac:dyDescent="0.3">
      <c r="A451" s="120" t="s">
        <v>241</v>
      </c>
      <c r="B451" s="119">
        <f>C451+F451+I451</f>
        <v>21200</v>
      </c>
      <c r="C451" s="119">
        <f>D451+E451</f>
        <v>21200</v>
      </c>
      <c r="D451" s="119">
        <f>Дод.3!I189*1000</f>
        <v>21200</v>
      </c>
      <c r="E451" s="121"/>
      <c r="F451" s="119"/>
      <c r="G451" s="119"/>
      <c r="H451" s="121"/>
      <c r="I451" s="121"/>
      <c r="J451" s="121"/>
      <c r="K451" s="119"/>
    </row>
    <row r="452" spans="1:11" ht="32.25" customHeight="1" x14ac:dyDescent="0.3">
      <c r="A452" s="258" t="s">
        <v>79</v>
      </c>
      <c r="B452" s="121"/>
      <c r="C452" s="121"/>
      <c r="D452" s="121"/>
      <c r="E452" s="121"/>
      <c r="F452" s="121"/>
      <c r="G452" s="121"/>
      <c r="H452" s="121"/>
      <c r="I452" s="121"/>
      <c r="J452" s="121"/>
      <c r="K452" s="119"/>
    </row>
    <row r="453" spans="1:11" ht="32.25" customHeight="1" x14ac:dyDescent="0.3">
      <c r="A453" s="120" t="s">
        <v>347</v>
      </c>
      <c r="B453" s="121"/>
      <c r="C453" s="121">
        <f>D453</f>
        <v>2</v>
      </c>
      <c r="D453" s="121">
        <v>2</v>
      </c>
      <c r="E453" s="121"/>
      <c r="F453" s="121"/>
      <c r="G453" s="121"/>
      <c r="H453" s="121"/>
      <c r="I453" s="121"/>
      <c r="J453" s="121"/>
      <c r="K453" s="119"/>
    </row>
    <row r="454" spans="1:11" ht="32.25" customHeight="1" x14ac:dyDescent="0.3">
      <c r="A454" s="258" t="s">
        <v>80</v>
      </c>
      <c r="B454" s="121"/>
      <c r="C454" s="121"/>
      <c r="D454" s="121"/>
      <c r="E454" s="121"/>
      <c r="F454" s="121"/>
      <c r="G454" s="121"/>
      <c r="H454" s="121"/>
      <c r="I454" s="121"/>
      <c r="J454" s="121"/>
      <c r="K454" s="119"/>
    </row>
    <row r="455" spans="1:11" ht="34.5" customHeight="1" x14ac:dyDescent="0.3">
      <c r="A455" s="125" t="s">
        <v>204</v>
      </c>
      <c r="B455" s="121"/>
      <c r="C455" s="121">
        <f>D455</f>
        <v>10600</v>
      </c>
      <c r="D455" s="121">
        <f>D451/D453</f>
        <v>10600</v>
      </c>
      <c r="E455" s="121"/>
      <c r="F455" s="121"/>
      <c r="G455" s="121"/>
      <c r="H455" s="121"/>
      <c r="I455" s="121"/>
      <c r="J455" s="121"/>
      <c r="K455" s="119"/>
    </row>
    <row r="456" spans="1:11" ht="34.5" customHeight="1" x14ac:dyDescent="0.3">
      <c r="A456" s="495" t="s">
        <v>520</v>
      </c>
      <c r="B456" s="496"/>
      <c r="C456" s="496"/>
      <c r="D456" s="496"/>
      <c r="E456" s="496"/>
      <c r="F456" s="496"/>
      <c r="G456" s="496"/>
      <c r="H456" s="496"/>
      <c r="I456" s="496"/>
      <c r="J456" s="496"/>
      <c r="K456" s="497"/>
    </row>
    <row r="457" spans="1:11" ht="34.5" customHeight="1" x14ac:dyDescent="0.3">
      <c r="A457" s="258" t="s">
        <v>77</v>
      </c>
      <c r="B457" s="121"/>
      <c r="C457" s="121"/>
      <c r="D457" s="121"/>
      <c r="E457" s="121"/>
      <c r="F457" s="121"/>
      <c r="G457" s="121"/>
      <c r="H457" s="121"/>
      <c r="I457" s="121"/>
      <c r="J457" s="121"/>
      <c r="K457" s="119"/>
    </row>
    <row r="458" spans="1:11" ht="34.5" customHeight="1" x14ac:dyDescent="0.3">
      <c r="A458" s="120" t="s">
        <v>355</v>
      </c>
      <c r="B458" s="119">
        <f>C458+F458+I458</f>
        <v>18301300</v>
      </c>
      <c r="C458" s="119">
        <f>D458+E458</f>
        <v>16537099.999999998</v>
      </c>
      <c r="D458" s="119"/>
      <c r="E458" s="119">
        <f>Дод.3!I190*1000</f>
        <v>16537099.999999998</v>
      </c>
      <c r="F458" s="121">
        <f>H458</f>
        <v>1764200</v>
      </c>
      <c r="G458" s="121"/>
      <c r="H458" s="121">
        <f>Дод.3!J190*1000</f>
        <v>1764200</v>
      </c>
      <c r="I458" s="121"/>
      <c r="J458" s="121"/>
      <c r="K458" s="119"/>
    </row>
    <row r="459" spans="1:11" ht="47.25" customHeight="1" x14ac:dyDescent="0.3">
      <c r="A459" s="506" t="s">
        <v>96</v>
      </c>
      <c r="B459" s="506"/>
      <c r="C459" s="506"/>
      <c r="D459" s="506"/>
      <c r="E459" s="506"/>
      <c r="F459" s="506"/>
      <c r="G459" s="506"/>
      <c r="H459" s="506"/>
      <c r="I459" s="506"/>
      <c r="J459" s="506"/>
      <c r="K459" s="506"/>
    </row>
    <row r="460" spans="1:11" ht="43.5" customHeight="1" x14ac:dyDescent="0.3">
      <c r="A460" s="262" t="s">
        <v>245</v>
      </c>
      <c r="B460" s="119">
        <f>B464+B471+B478+B491+B502+B509+B518+B527+B534</f>
        <v>475117120</v>
      </c>
      <c r="C460" s="119">
        <f>C464+C478+C502+C509+C527</f>
        <v>107551920</v>
      </c>
      <c r="D460" s="119">
        <f>D464+D478</f>
        <v>0</v>
      </c>
      <c r="E460" s="119">
        <f>E464+E478+E502+E509+E527</f>
        <v>107551920</v>
      </c>
      <c r="F460" s="119">
        <f>G460+H460</f>
        <v>259265200</v>
      </c>
      <c r="G460" s="119">
        <f>G464+G478</f>
        <v>0</v>
      </c>
      <c r="H460" s="119">
        <f>H471+H491+H502+H518+H534</f>
        <v>259265200</v>
      </c>
      <c r="I460" s="119">
        <f>J460+K460</f>
        <v>108300000</v>
      </c>
      <c r="J460" s="119">
        <f>J464+J478</f>
        <v>0</v>
      </c>
      <c r="K460" s="119">
        <f>K471+K491</f>
        <v>108300000</v>
      </c>
    </row>
    <row r="461" spans="1:11" ht="28.5" customHeight="1" x14ac:dyDescent="0.3">
      <c r="A461" s="514" t="s">
        <v>272</v>
      </c>
      <c r="B461" s="514"/>
      <c r="C461" s="514"/>
      <c r="D461" s="514"/>
      <c r="E461" s="514"/>
      <c r="F461" s="514"/>
      <c r="G461" s="514"/>
      <c r="H461" s="514"/>
      <c r="I461" s="514"/>
      <c r="J461" s="514"/>
      <c r="K461" s="514"/>
    </row>
    <row r="462" spans="1:11" ht="28.5" customHeight="1" x14ac:dyDescent="0.3">
      <c r="A462" s="505" t="s">
        <v>510</v>
      </c>
      <c r="B462" s="505"/>
      <c r="C462" s="505"/>
      <c r="D462" s="505"/>
      <c r="E462" s="505"/>
      <c r="F462" s="505"/>
      <c r="G462" s="505"/>
      <c r="H462" s="505"/>
      <c r="I462" s="505"/>
      <c r="J462" s="505"/>
      <c r="K462" s="505"/>
    </row>
    <row r="463" spans="1:11" ht="28.5" customHeight="1" x14ac:dyDescent="0.3">
      <c r="A463" s="258" t="s">
        <v>77</v>
      </c>
      <c r="B463" s="261"/>
      <c r="C463" s="261"/>
      <c r="D463" s="265"/>
      <c r="E463" s="261"/>
      <c r="F463" s="261"/>
      <c r="G463" s="261"/>
      <c r="H463" s="261"/>
      <c r="I463" s="261"/>
      <c r="J463" s="261"/>
      <c r="K463" s="261"/>
    </row>
    <row r="464" spans="1:11" ht="63" customHeight="1" x14ac:dyDescent="0.3">
      <c r="A464" s="120" t="s">
        <v>330</v>
      </c>
      <c r="B464" s="122">
        <f>C464+F464+I464</f>
        <v>80593000</v>
      </c>
      <c r="C464" s="122">
        <f>E464+D464</f>
        <v>80593000</v>
      </c>
      <c r="D464" s="122"/>
      <c r="E464" s="122">
        <f>Дод.3!I196*1000</f>
        <v>80593000</v>
      </c>
      <c r="F464" s="124"/>
      <c r="G464" s="124"/>
      <c r="H464" s="124"/>
      <c r="I464" s="124"/>
      <c r="J464" s="124"/>
      <c r="K464" s="124"/>
    </row>
    <row r="465" spans="1:11" ht="28.5" customHeight="1" x14ac:dyDescent="0.3">
      <c r="A465" s="258" t="s">
        <v>79</v>
      </c>
      <c r="B465" s="124"/>
      <c r="C465" s="124"/>
      <c r="D465" s="124"/>
      <c r="E465" s="124"/>
      <c r="F465" s="124"/>
      <c r="G465" s="124"/>
      <c r="H465" s="124"/>
      <c r="I465" s="124"/>
      <c r="J465" s="124"/>
      <c r="K465" s="124"/>
    </row>
    <row r="466" spans="1:11" ht="28.5" customHeight="1" x14ac:dyDescent="0.3">
      <c r="A466" s="125" t="s">
        <v>194</v>
      </c>
      <c r="B466" s="122"/>
      <c r="C466" s="124">
        <f>E466</f>
        <v>9</v>
      </c>
      <c r="D466" s="124"/>
      <c r="E466" s="124">
        <f>4+5</f>
        <v>9</v>
      </c>
      <c r="F466" s="124"/>
      <c r="G466" s="133"/>
      <c r="H466" s="124"/>
      <c r="I466" s="124"/>
      <c r="J466" s="124"/>
      <c r="K466" s="124"/>
    </row>
    <row r="467" spans="1:11" ht="28.5" customHeight="1" x14ac:dyDescent="0.3">
      <c r="A467" s="258" t="s">
        <v>80</v>
      </c>
      <c r="B467" s="137"/>
      <c r="C467" s="137"/>
      <c r="D467" s="137"/>
      <c r="E467" s="137"/>
      <c r="F467" s="137"/>
      <c r="G467" s="137"/>
      <c r="H467" s="137"/>
      <c r="I467" s="137"/>
      <c r="J467" s="137"/>
      <c r="K467" s="137"/>
    </row>
    <row r="468" spans="1:11" ht="28.5" customHeight="1" x14ac:dyDescent="0.3">
      <c r="A468" s="125" t="s">
        <v>204</v>
      </c>
      <c r="B468" s="124"/>
      <c r="C468" s="124">
        <f>E468</f>
        <v>8954777.777777778</v>
      </c>
      <c r="D468" s="124"/>
      <c r="E468" s="124">
        <f>E464/E466</f>
        <v>8954777.777777778</v>
      </c>
      <c r="F468" s="124"/>
      <c r="G468" s="124"/>
      <c r="H468" s="124"/>
      <c r="I468" s="124"/>
      <c r="J468" s="124"/>
      <c r="K468" s="124"/>
    </row>
    <row r="469" spans="1:11" ht="28.5" customHeight="1" x14ac:dyDescent="0.3">
      <c r="A469" s="505" t="s">
        <v>511</v>
      </c>
      <c r="B469" s="505"/>
      <c r="C469" s="505"/>
      <c r="D469" s="505"/>
      <c r="E469" s="505"/>
      <c r="F469" s="505"/>
      <c r="G469" s="505"/>
      <c r="H469" s="505"/>
      <c r="I469" s="505"/>
      <c r="J469" s="505"/>
      <c r="K469" s="505"/>
    </row>
    <row r="470" spans="1:11" ht="28.5" customHeight="1" x14ac:dyDescent="0.3">
      <c r="A470" s="258" t="s">
        <v>77</v>
      </c>
      <c r="B470" s="124"/>
      <c r="C470" s="124"/>
      <c r="D470" s="124"/>
      <c r="E470" s="124"/>
      <c r="F470" s="124"/>
      <c r="G470" s="124"/>
      <c r="H470" s="124"/>
      <c r="I470" s="124"/>
      <c r="J470" s="124"/>
      <c r="K470" s="124"/>
    </row>
    <row r="471" spans="1:11" ht="28.5" customHeight="1" x14ac:dyDescent="0.3">
      <c r="A471" s="120" t="s">
        <v>330</v>
      </c>
      <c r="B471" s="122">
        <f>F471+I471</f>
        <v>245509200</v>
      </c>
      <c r="C471" s="124"/>
      <c r="D471" s="124"/>
      <c r="E471" s="124"/>
      <c r="F471" s="122">
        <f>H471</f>
        <v>165509200</v>
      </c>
      <c r="G471" s="122"/>
      <c r="H471" s="122">
        <f>Дод.3!J201*1000</f>
        <v>165509200</v>
      </c>
      <c r="I471" s="122">
        <f>K471</f>
        <v>80000000</v>
      </c>
      <c r="J471" s="122"/>
      <c r="K471" s="122">
        <f>Дод.3!K201*1000</f>
        <v>80000000</v>
      </c>
    </row>
    <row r="472" spans="1:11" ht="28.5" customHeight="1" x14ac:dyDescent="0.3">
      <c r="A472" s="258" t="s">
        <v>79</v>
      </c>
      <c r="B472" s="124"/>
      <c r="C472" s="124"/>
      <c r="D472" s="124"/>
      <c r="E472" s="124"/>
      <c r="F472" s="124"/>
      <c r="G472" s="124"/>
      <c r="H472" s="124"/>
      <c r="I472" s="124"/>
      <c r="J472" s="124"/>
      <c r="K472" s="124"/>
    </row>
    <row r="473" spans="1:11" ht="28.5" customHeight="1" x14ac:dyDescent="0.3">
      <c r="A473" s="125" t="s">
        <v>194</v>
      </c>
      <c r="B473" s="124"/>
      <c r="C473" s="124"/>
      <c r="D473" s="124"/>
      <c r="E473" s="124"/>
      <c r="F473" s="124">
        <f>H473</f>
        <v>26</v>
      </c>
      <c r="G473" s="124"/>
      <c r="H473" s="124">
        <v>26</v>
      </c>
      <c r="I473" s="124">
        <f>K473</f>
        <v>63</v>
      </c>
      <c r="J473" s="124"/>
      <c r="K473" s="124">
        <v>63</v>
      </c>
    </row>
    <row r="474" spans="1:11" ht="28.5" customHeight="1" x14ac:dyDescent="0.3">
      <c r="A474" s="258" t="s">
        <v>80</v>
      </c>
      <c r="B474" s="124"/>
      <c r="C474" s="124"/>
      <c r="D474" s="124"/>
      <c r="E474" s="124"/>
      <c r="F474" s="124"/>
      <c r="G474" s="124"/>
      <c r="H474" s="124"/>
      <c r="I474" s="124"/>
      <c r="J474" s="124"/>
      <c r="K474" s="124"/>
    </row>
    <row r="475" spans="1:11" ht="28.5" customHeight="1" x14ac:dyDescent="0.3">
      <c r="A475" s="125" t="s">
        <v>204</v>
      </c>
      <c r="B475" s="124"/>
      <c r="C475" s="124"/>
      <c r="D475" s="124"/>
      <c r="E475" s="124"/>
      <c r="F475" s="124">
        <f>H475</f>
        <v>6365738.461538462</v>
      </c>
      <c r="G475" s="124"/>
      <c r="H475" s="124">
        <f>H471/H473</f>
        <v>6365738.461538462</v>
      </c>
      <c r="I475" s="124">
        <f>K475</f>
        <v>1269841.2698412698</v>
      </c>
      <c r="J475" s="124"/>
      <c r="K475" s="124">
        <f>K471/K473</f>
        <v>1269841.2698412698</v>
      </c>
    </row>
    <row r="476" spans="1:11" ht="32.25" customHeight="1" x14ac:dyDescent="0.3">
      <c r="A476" s="495" t="s">
        <v>512</v>
      </c>
      <c r="B476" s="496"/>
      <c r="C476" s="496"/>
      <c r="D476" s="496"/>
      <c r="E476" s="496"/>
      <c r="F476" s="496"/>
      <c r="G476" s="496"/>
      <c r="H476" s="496"/>
      <c r="I476" s="496"/>
      <c r="J476" s="496"/>
      <c r="K476" s="497"/>
    </row>
    <row r="477" spans="1:11" ht="32.25" customHeight="1" x14ac:dyDescent="0.3">
      <c r="A477" s="258" t="s">
        <v>77</v>
      </c>
      <c r="B477" s="258"/>
      <c r="C477" s="258"/>
      <c r="D477" s="258"/>
      <c r="E477" s="258"/>
      <c r="F477" s="258"/>
      <c r="G477" s="258"/>
      <c r="H477" s="258"/>
      <c r="I477" s="258"/>
      <c r="J477" s="258"/>
      <c r="K477" s="258"/>
    </row>
    <row r="478" spans="1:11" ht="53.25" customHeight="1" x14ac:dyDescent="0.3">
      <c r="A478" s="120" t="s">
        <v>529</v>
      </c>
      <c r="B478" s="122">
        <f>C478+F478+I478</f>
        <v>5300000</v>
      </c>
      <c r="C478" s="122">
        <f>E478+D478</f>
        <v>5300000</v>
      </c>
      <c r="D478" s="122"/>
      <c r="E478" s="122">
        <f>Дод.3!I213*1000</f>
        <v>5300000</v>
      </c>
      <c r="F478" s="124"/>
      <c r="G478" s="124"/>
      <c r="H478" s="124"/>
      <c r="I478" s="124"/>
      <c r="J478" s="124"/>
      <c r="K478" s="124"/>
    </row>
    <row r="479" spans="1:11" ht="28.5" customHeight="1" x14ac:dyDescent="0.3">
      <c r="A479" s="120" t="s">
        <v>168</v>
      </c>
      <c r="B479" s="124"/>
      <c r="C479" s="124">
        <f>E479+D479</f>
        <v>2300000</v>
      </c>
      <c r="D479" s="124"/>
      <c r="E479" s="124">
        <f>300000+2000000</f>
        <v>2300000</v>
      </c>
      <c r="F479" s="124"/>
      <c r="G479" s="124"/>
      <c r="H479" s="124"/>
      <c r="I479" s="124"/>
      <c r="J479" s="124"/>
      <c r="K479" s="124"/>
    </row>
    <row r="480" spans="1:11" ht="28.5" customHeight="1" x14ac:dyDescent="0.3">
      <c r="A480" s="120" t="s">
        <v>169</v>
      </c>
      <c r="B480" s="124"/>
      <c r="C480" s="124"/>
      <c r="D480" s="124"/>
      <c r="E480" s="124">
        <f>2000000+1000000</f>
        <v>3000000</v>
      </c>
      <c r="F480" s="124"/>
      <c r="G480" s="124"/>
      <c r="H480" s="124"/>
      <c r="I480" s="124"/>
      <c r="J480" s="124"/>
      <c r="K480" s="124"/>
    </row>
    <row r="481" spans="1:11" ht="28.5" customHeight="1" x14ac:dyDescent="0.3">
      <c r="A481" s="258" t="s">
        <v>79</v>
      </c>
      <c r="B481" s="124"/>
      <c r="C481" s="124"/>
      <c r="D481" s="124"/>
      <c r="E481" s="124"/>
      <c r="F481" s="124"/>
      <c r="G481" s="124"/>
      <c r="H481" s="124"/>
      <c r="I481" s="124"/>
      <c r="J481" s="124"/>
      <c r="K481" s="124"/>
    </row>
    <row r="482" spans="1:11" ht="45.75" customHeight="1" x14ac:dyDescent="0.3">
      <c r="A482" s="125" t="s">
        <v>530</v>
      </c>
      <c r="B482" s="122"/>
      <c r="C482" s="124"/>
      <c r="D482" s="124"/>
      <c r="E482" s="124"/>
      <c r="F482" s="124"/>
      <c r="G482" s="133"/>
      <c r="H482" s="124"/>
      <c r="I482" s="124"/>
      <c r="J482" s="124"/>
      <c r="K482" s="124"/>
    </row>
    <row r="483" spans="1:11" ht="28.5" customHeight="1" x14ac:dyDescent="0.3">
      <c r="A483" s="120" t="s">
        <v>168</v>
      </c>
      <c r="B483" s="122"/>
      <c r="C483" s="124">
        <f>E483</f>
        <v>2</v>
      </c>
      <c r="D483" s="124"/>
      <c r="E483" s="124">
        <v>2</v>
      </c>
      <c r="F483" s="124"/>
      <c r="G483" s="133"/>
      <c r="H483" s="124"/>
      <c r="I483" s="124"/>
      <c r="J483" s="124"/>
      <c r="K483" s="124"/>
    </row>
    <row r="484" spans="1:11" ht="28.5" customHeight="1" x14ac:dyDescent="0.3">
      <c r="A484" s="120" t="s">
        <v>169</v>
      </c>
      <c r="B484" s="122"/>
      <c r="C484" s="124">
        <f>E484</f>
        <v>2</v>
      </c>
      <c r="D484" s="124"/>
      <c r="E484" s="124">
        <v>2</v>
      </c>
      <c r="F484" s="124"/>
      <c r="G484" s="133"/>
      <c r="H484" s="124"/>
      <c r="I484" s="124"/>
      <c r="J484" s="124"/>
      <c r="K484" s="124"/>
    </row>
    <row r="485" spans="1:11" ht="28.5" customHeight="1" x14ac:dyDescent="0.3">
      <c r="A485" s="258" t="s">
        <v>80</v>
      </c>
      <c r="B485" s="124"/>
      <c r="C485" s="124"/>
      <c r="D485" s="124"/>
      <c r="E485" s="124"/>
      <c r="F485" s="124"/>
      <c r="G485" s="124"/>
      <c r="H485" s="124"/>
      <c r="I485" s="124"/>
      <c r="J485" s="124"/>
      <c r="K485" s="124"/>
    </row>
    <row r="486" spans="1:11" ht="28.5" customHeight="1" x14ac:dyDescent="0.3">
      <c r="A486" s="125" t="s">
        <v>531</v>
      </c>
      <c r="B486" s="124"/>
      <c r="C486" s="124"/>
      <c r="D486" s="124"/>
      <c r="E486" s="124"/>
      <c r="F486" s="124"/>
      <c r="G486" s="124"/>
      <c r="H486" s="124"/>
      <c r="I486" s="124"/>
      <c r="J486" s="124"/>
      <c r="K486" s="124"/>
    </row>
    <row r="487" spans="1:11" ht="28.5" customHeight="1" x14ac:dyDescent="0.3">
      <c r="A487" s="120" t="s">
        <v>168</v>
      </c>
      <c r="B487" s="124"/>
      <c r="C487" s="124"/>
      <c r="D487" s="124"/>
      <c r="E487" s="124">
        <f>E479/E483</f>
        <v>1150000</v>
      </c>
      <c r="F487" s="124"/>
      <c r="G487" s="124"/>
      <c r="H487" s="124"/>
      <c r="I487" s="124"/>
      <c r="J487" s="124"/>
      <c r="K487" s="124"/>
    </row>
    <row r="488" spans="1:11" ht="28.5" customHeight="1" x14ac:dyDescent="0.3">
      <c r="A488" s="120" t="s">
        <v>169</v>
      </c>
      <c r="B488" s="124"/>
      <c r="C488" s="124"/>
      <c r="D488" s="124"/>
      <c r="E488" s="124">
        <f>E480/E484</f>
        <v>1500000</v>
      </c>
      <c r="F488" s="124"/>
      <c r="G488" s="124"/>
      <c r="H488" s="124"/>
      <c r="I488" s="124"/>
      <c r="J488" s="124"/>
      <c r="K488" s="124"/>
    </row>
    <row r="489" spans="1:11" ht="28.5" customHeight="1" x14ac:dyDescent="0.3">
      <c r="A489" s="495" t="s">
        <v>521</v>
      </c>
      <c r="B489" s="496"/>
      <c r="C489" s="496"/>
      <c r="D489" s="496"/>
      <c r="E489" s="496"/>
      <c r="F489" s="496"/>
      <c r="G489" s="496"/>
      <c r="H489" s="496"/>
      <c r="I489" s="496"/>
      <c r="J489" s="496"/>
      <c r="K489" s="497"/>
    </row>
    <row r="490" spans="1:11" ht="28.5" customHeight="1" x14ac:dyDescent="0.3">
      <c r="A490" s="258" t="s">
        <v>77</v>
      </c>
      <c r="B490" s="124"/>
      <c r="C490" s="124"/>
      <c r="D490" s="124"/>
      <c r="E490" s="124"/>
      <c r="F490" s="124"/>
      <c r="G490" s="124"/>
      <c r="H490" s="124"/>
      <c r="I490" s="124"/>
      <c r="J490" s="124"/>
      <c r="K490" s="124"/>
    </row>
    <row r="491" spans="1:11" ht="49.5" customHeight="1" x14ac:dyDescent="0.3">
      <c r="A491" s="184" t="s">
        <v>526</v>
      </c>
      <c r="B491" s="122">
        <f>F491+I491</f>
        <v>63632900</v>
      </c>
      <c r="C491" s="122"/>
      <c r="D491" s="122"/>
      <c r="E491" s="122"/>
      <c r="F491" s="122">
        <f>H491</f>
        <v>35332900</v>
      </c>
      <c r="G491" s="122"/>
      <c r="H491" s="122">
        <f>Дод.3!J223*1000</f>
        <v>35332900</v>
      </c>
      <c r="I491" s="122">
        <f>K491</f>
        <v>28300000</v>
      </c>
      <c r="J491" s="122"/>
      <c r="K491" s="122">
        <f>Дод.3!K223*1000</f>
        <v>28300000</v>
      </c>
    </row>
    <row r="492" spans="1:11" ht="49.5" customHeight="1" x14ac:dyDescent="0.3">
      <c r="A492" s="120" t="s">
        <v>471</v>
      </c>
      <c r="B492" s="122"/>
      <c r="C492" s="122"/>
      <c r="D492" s="122"/>
      <c r="E492" s="122"/>
      <c r="F492" s="122">
        <f>H492</f>
        <v>25665000</v>
      </c>
      <c r="G492" s="122"/>
      <c r="H492" s="122">
        <f>Дод.3!J228*1000</f>
        <v>25665000</v>
      </c>
      <c r="I492" s="122"/>
      <c r="J492" s="122"/>
      <c r="K492" s="122"/>
    </row>
    <row r="493" spans="1:11" ht="49.5" customHeight="1" x14ac:dyDescent="0.3">
      <c r="A493" s="120" t="s">
        <v>522</v>
      </c>
      <c r="B493" s="122"/>
      <c r="C493" s="122"/>
      <c r="D493" s="122"/>
      <c r="E493" s="122"/>
      <c r="F493" s="122">
        <f>H493</f>
        <v>8172000</v>
      </c>
      <c r="G493" s="122"/>
      <c r="H493" s="122">
        <f>Дод.3!J235*1000</f>
        <v>8172000</v>
      </c>
      <c r="I493" s="122"/>
      <c r="J493" s="122"/>
      <c r="K493" s="122"/>
    </row>
    <row r="494" spans="1:11" ht="28.5" customHeight="1" x14ac:dyDescent="0.3">
      <c r="A494" s="258" t="s">
        <v>79</v>
      </c>
      <c r="B494" s="124"/>
      <c r="C494" s="124"/>
      <c r="D494" s="124"/>
      <c r="E494" s="124"/>
      <c r="F494" s="124"/>
      <c r="G494" s="124"/>
      <c r="H494" s="124"/>
      <c r="I494" s="124"/>
      <c r="J494" s="124"/>
      <c r="K494" s="124"/>
    </row>
    <row r="495" spans="1:11" ht="54.75" customHeight="1" x14ac:dyDescent="0.3">
      <c r="A495" s="120" t="s">
        <v>472</v>
      </c>
      <c r="B495" s="124"/>
      <c r="C495" s="124"/>
      <c r="D495" s="124"/>
      <c r="E495" s="124"/>
      <c r="F495" s="124">
        <f>H495</f>
        <v>2</v>
      </c>
      <c r="G495" s="124"/>
      <c r="H495" s="124">
        <v>2</v>
      </c>
      <c r="I495" s="124">
        <f>K495</f>
        <v>8</v>
      </c>
      <c r="J495" s="124"/>
      <c r="K495" s="124">
        <v>8</v>
      </c>
    </row>
    <row r="496" spans="1:11" ht="54.75" customHeight="1" x14ac:dyDescent="0.3">
      <c r="A496" s="120" t="s">
        <v>523</v>
      </c>
      <c r="B496" s="124"/>
      <c r="C496" s="124"/>
      <c r="D496" s="124"/>
      <c r="E496" s="124"/>
      <c r="F496" s="124">
        <f>H496</f>
        <v>2</v>
      </c>
      <c r="G496" s="124"/>
      <c r="H496" s="124">
        <v>2</v>
      </c>
      <c r="I496" s="124"/>
      <c r="J496" s="124"/>
      <c r="K496" s="124"/>
    </row>
    <row r="497" spans="1:11" ht="28.5" customHeight="1" x14ac:dyDescent="0.3">
      <c r="A497" s="258" t="s">
        <v>80</v>
      </c>
      <c r="B497" s="124"/>
      <c r="C497" s="124"/>
      <c r="D497" s="124"/>
      <c r="E497" s="124"/>
      <c r="F497" s="124"/>
      <c r="G497" s="124"/>
      <c r="H497" s="124"/>
      <c r="I497" s="124"/>
      <c r="J497" s="124"/>
      <c r="K497" s="124"/>
    </row>
    <row r="498" spans="1:11" ht="68.25" customHeight="1" x14ac:dyDescent="0.3">
      <c r="A498" s="120" t="s">
        <v>473</v>
      </c>
      <c r="B498" s="124"/>
      <c r="C498" s="124"/>
      <c r="D498" s="124"/>
      <c r="E498" s="124"/>
      <c r="F498" s="124">
        <f>H498</f>
        <v>12832500</v>
      </c>
      <c r="G498" s="124"/>
      <c r="H498" s="124">
        <f>H492/H495</f>
        <v>12832500</v>
      </c>
      <c r="I498" s="124">
        <f>K498</f>
        <v>3537500</v>
      </c>
      <c r="J498" s="124"/>
      <c r="K498" s="124">
        <f>K491/K495</f>
        <v>3537500</v>
      </c>
    </row>
    <row r="499" spans="1:11" ht="68.25" customHeight="1" x14ac:dyDescent="0.3">
      <c r="A499" s="120" t="s">
        <v>524</v>
      </c>
      <c r="B499" s="124"/>
      <c r="C499" s="124"/>
      <c r="D499" s="124"/>
      <c r="E499" s="124"/>
      <c r="F499" s="124">
        <f>H499</f>
        <v>4086000</v>
      </c>
      <c r="G499" s="124"/>
      <c r="H499" s="124">
        <f>H493/H496</f>
        <v>4086000</v>
      </c>
      <c r="I499" s="124"/>
      <c r="J499" s="124"/>
      <c r="K499" s="124"/>
    </row>
    <row r="500" spans="1:11" ht="28.5" customHeight="1" x14ac:dyDescent="0.3">
      <c r="A500" s="495" t="s">
        <v>474</v>
      </c>
      <c r="B500" s="496"/>
      <c r="C500" s="496"/>
      <c r="D500" s="496"/>
      <c r="E500" s="496"/>
      <c r="F500" s="496"/>
      <c r="G500" s="496"/>
      <c r="H500" s="496"/>
      <c r="I500" s="496"/>
      <c r="J500" s="496"/>
      <c r="K500" s="497"/>
    </row>
    <row r="501" spans="1:11" ht="28.5" customHeight="1" x14ac:dyDescent="0.3">
      <c r="A501" s="258" t="s">
        <v>77</v>
      </c>
      <c r="B501" s="258"/>
      <c r="C501" s="258"/>
      <c r="D501" s="258"/>
      <c r="E501" s="258"/>
      <c r="F501" s="258"/>
      <c r="G501" s="258"/>
      <c r="H501" s="258"/>
      <c r="I501" s="258"/>
      <c r="J501" s="258"/>
      <c r="K501" s="258"/>
    </row>
    <row r="502" spans="1:11" ht="54.75" customHeight="1" x14ac:dyDescent="0.3">
      <c r="A502" s="120" t="s">
        <v>527</v>
      </c>
      <c r="B502" s="122">
        <f>Дод.3!H236*1000</f>
        <v>16907200</v>
      </c>
      <c r="C502" s="122">
        <f>Дод.3!I236*1000</f>
        <v>16800000</v>
      </c>
      <c r="D502" s="122"/>
      <c r="E502" s="122">
        <f>Дод.3!I236*1000</f>
        <v>16800000</v>
      </c>
      <c r="F502" s="122"/>
      <c r="G502" s="122"/>
      <c r="H502" s="122">
        <f>Дод.3!J237*1000</f>
        <v>107200</v>
      </c>
      <c r="I502" s="122"/>
      <c r="J502" s="124"/>
      <c r="K502" s="124"/>
    </row>
    <row r="503" spans="1:11" ht="33.75" customHeight="1" x14ac:dyDescent="0.3">
      <c r="A503" s="258" t="s">
        <v>79</v>
      </c>
      <c r="B503" s="124"/>
      <c r="C503" s="124"/>
      <c r="D503" s="124"/>
      <c r="E503" s="124"/>
      <c r="F503" s="124"/>
      <c r="G503" s="124"/>
      <c r="H503" s="124"/>
      <c r="I503" s="124"/>
      <c r="J503" s="124"/>
      <c r="K503" s="124"/>
    </row>
    <row r="504" spans="1:11" ht="54.75" customHeight="1" x14ac:dyDescent="0.3">
      <c r="A504" s="125" t="s">
        <v>195</v>
      </c>
      <c r="B504" s="122"/>
      <c r="C504" s="124">
        <v>1</v>
      </c>
      <c r="D504" s="124"/>
      <c r="E504" s="124">
        <v>1</v>
      </c>
      <c r="F504" s="124">
        <v>1</v>
      </c>
      <c r="G504" s="133"/>
      <c r="H504" s="124">
        <v>1</v>
      </c>
      <c r="I504" s="124"/>
      <c r="J504" s="124"/>
      <c r="K504" s="124"/>
    </row>
    <row r="505" spans="1:11" ht="28.5" customHeight="1" x14ac:dyDescent="0.3">
      <c r="A505" s="258" t="s">
        <v>80</v>
      </c>
      <c r="B505" s="124"/>
      <c r="C505" s="124"/>
      <c r="D505" s="124"/>
      <c r="E505" s="124"/>
      <c r="F505" s="124"/>
      <c r="G505" s="124"/>
      <c r="H505" s="124"/>
      <c r="I505" s="124"/>
      <c r="J505" s="124"/>
      <c r="K505" s="124"/>
    </row>
    <row r="506" spans="1:11" ht="28.5" customHeight="1" x14ac:dyDescent="0.3">
      <c r="A506" s="125" t="s">
        <v>203</v>
      </c>
      <c r="B506" s="124"/>
      <c r="C506" s="124"/>
      <c r="D506" s="124"/>
      <c r="E506" s="124">
        <f>E502/E504</f>
        <v>16800000</v>
      </c>
      <c r="F506" s="124"/>
      <c r="G506" s="124"/>
      <c r="H506" s="124">
        <f>H502/H504</f>
        <v>107200</v>
      </c>
      <c r="I506" s="124"/>
      <c r="J506" s="124"/>
      <c r="K506" s="124"/>
    </row>
    <row r="507" spans="1:11" ht="30" customHeight="1" x14ac:dyDescent="0.3">
      <c r="A507" s="505" t="s">
        <v>475</v>
      </c>
      <c r="B507" s="505"/>
      <c r="C507" s="505"/>
      <c r="D507" s="505"/>
      <c r="E507" s="505"/>
      <c r="F507" s="505"/>
      <c r="G507" s="505"/>
      <c r="H507" s="505"/>
      <c r="I507" s="505"/>
      <c r="J507" s="505"/>
      <c r="K507" s="505"/>
    </row>
    <row r="508" spans="1:11" ht="28.5" customHeight="1" x14ac:dyDescent="0.3">
      <c r="A508" s="258" t="s">
        <v>77</v>
      </c>
      <c r="B508" s="124"/>
      <c r="C508" s="124"/>
      <c r="D508" s="124"/>
      <c r="E508" s="124"/>
      <c r="F508" s="124"/>
      <c r="G508" s="124"/>
      <c r="H508" s="124"/>
      <c r="I508" s="124"/>
      <c r="J508" s="124"/>
      <c r="K508" s="124"/>
    </row>
    <row r="509" spans="1:11" ht="58.5" customHeight="1" x14ac:dyDescent="0.3">
      <c r="A509" s="120" t="s">
        <v>315</v>
      </c>
      <c r="B509" s="175">
        <f>C509+F509+I509</f>
        <v>4498920</v>
      </c>
      <c r="C509" s="175">
        <f>E509</f>
        <v>4498920</v>
      </c>
      <c r="D509" s="176"/>
      <c r="E509" s="175">
        <f>Дод.3!I240*1000</f>
        <v>4498920</v>
      </c>
      <c r="F509" s="138"/>
      <c r="G509" s="138"/>
      <c r="H509" s="138"/>
      <c r="I509" s="138"/>
      <c r="J509" s="138"/>
      <c r="K509" s="138"/>
    </row>
    <row r="510" spans="1:11" ht="29.25" customHeight="1" x14ac:dyDescent="0.3">
      <c r="A510" s="258" t="s">
        <v>79</v>
      </c>
      <c r="B510" s="138"/>
      <c r="C510" s="138"/>
      <c r="D510" s="137"/>
      <c r="E510" s="138"/>
      <c r="F510" s="138"/>
      <c r="G510" s="138"/>
      <c r="H510" s="138"/>
      <c r="I510" s="138"/>
      <c r="J510" s="138"/>
      <c r="K510" s="138"/>
    </row>
    <row r="511" spans="1:11" ht="28.5" customHeight="1" x14ac:dyDescent="0.3">
      <c r="A511" s="139" t="s">
        <v>316</v>
      </c>
      <c r="B511" s="138"/>
      <c r="C511" s="138">
        <f>E511</f>
        <v>3</v>
      </c>
      <c r="D511" s="137"/>
      <c r="E511" s="138">
        <v>3</v>
      </c>
      <c r="F511" s="138"/>
      <c r="G511" s="138"/>
      <c r="H511" s="138"/>
      <c r="I511" s="138"/>
      <c r="J511" s="138"/>
      <c r="K511" s="138"/>
    </row>
    <row r="512" spans="1:11" ht="28.5" customHeight="1" x14ac:dyDescent="0.3">
      <c r="A512" s="258" t="s">
        <v>80</v>
      </c>
      <c r="B512" s="138"/>
      <c r="C512" s="138"/>
      <c r="D512" s="137"/>
      <c r="E512" s="137"/>
      <c r="F512" s="137"/>
      <c r="G512" s="137"/>
      <c r="H512" s="137"/>
      <c r="I512" s="137"/>
      <c r="J512" s="137"/>
      <c r="K512" s="137"/>
    </row>
    <row r="513" spans="1:11" ht="57" customHeight="1" x14ac:dyDescent="0.3">
      <c r="A513" s="125" t="s">
        <v>317</v>
      </c>
      <c r="B513" s="138"/>
      <c r="C513" s="138">
        <f>C509/C511</f>
        <v>1499640</v>
      </c>
      <c r="D513" s="137"/>
      <c r="E513" s="138">
        <f>E509/E511</f>
        <v>1499640</v>
      </c>
      <c r="F513" s="137"/>
      <c r="G513" s="137"/>
      <c r="H513" s="137"/>
      <c r="I513" s="137"/>
      <c r="J513" s="137"/>
      <c r="K513" s="137"/>
    </row>
    <row r="514" spans="1:11" ht="27" customHeight="1" x14ac:dyDescent="0.3">
      <c r="A514" s="136" t="s">
        <v>81</v>
      </c>
      <c r="B514" s="138"/>
      <c r="C514" s="138"/>
      <c r="D514" s="137"/>
      <c r="E514" s="138"/>
      <c r="F514" s="137"/>
      <c r="G514" s="137"/>
      <c r="H514" s="137"/>
      <c r="I514" s="137"/>
      <c r="J514" s="137"/>
      <c r="K514" s="137"/>
    </row>
    <row r="515" spans="1:11" ht="53.25" customHeight="1" x14ac:dyDescent="0.3">
      <c r="A515" s="125" t="s">
        <v>318</v>
      </c>
      <c r="B515" s="138"/>
      <c r="C515" s="138">
        <v>100</v>
      </c>
      <c r="D515" s="137"/>
      <c r="E515" s="138">
        <v>100</v>
      </c>
      <c r="F515" s="137"/>
      <c r="G515" s="137"/>
      <c r="H515" s="137"/>
      <c r="I515" s="137"/>
      <c r="J515" s="137"/>
      <c r="K515" s="137"/>
    </row>
    <row r="516" spans="1:11" ht="32.25" customHeight="1" x14ac:dyDescent="0.3">
      <c r="A516" s="505" t="s">
        <v>476</v>
      </c>
      <c r="B516" s="505"/>
      <c r="C516" s="505"/>
      <c r="D516" s="505"/>
      <c r="E516" s="505"/>
      <c r="F516" s="505"/>
      <c r="G516" s="505"/>
      <c r="H516" s="505"/>
      <c r="I516" s="505"/>
      <c r="J516" s="505"/>
      <c r="K516" s="505"/>
    </row>
    <row r="517" spans="1:11" ht="32.25" customHeight="1" x14ac:dyDescent="0.3">
      <c r="A517" s="258" t="s">
        <v>77</v>
      </c>
      <c r="B517" s="138"/>
      <c r="C517" s="138"/>
      <c r="D517" s="137"/>
      <c r="E517" s="138"/>
      <c r="F517" s="137"/>
      <c r="G517" s="137"/>
      <c r="H517" s="137"/>
      <c r="I517" s="137"/>
      <c r="J517" s="137"/>
      <c r="K517" s="137"/>
    </row>
    <row r="518" spans="1:11" ht="53.25" customHeight="1" x14ac:dyDescent="0.3">
      <c r="A518" s="120" t="s">
        <v>315</v>
      </c>
      <c r="B518" s="175">
        <f>F518+I518</f>
        <v>1194900</v>
      </c>
      <c r="C518" s="175"/>
      <c r="D518" s="176"/>
      <c r="E518" s="175"/>
      <c r="F518" s="175">
        <f>H518</f>
        <v>1194900</v>
      </c>
      <c r="G518" s="177"/>
      <c r="H518" s="175">
        <f>Дод.3!J247*1000</f>
        <v>1194900</v>
      </c>
      <c r="I518" s="137"/>
      <c r="J518" s="137"/>
      <c r="K518" s="138"/>
    </row>
    <row r="519" spans="1:11" ht="32.25" customHeight="1" x14ac:dyDescent="0.3">
      <c r="A519" s="258" t="s">
        <v>79</v>
      </c>
      <c r="B519" s="138"/>
      <c r="C519" s="138"/>
      <c r="D519" s="137"/>
      <c r="E519" s="138"/>
      <c r="F519" s="138"/>
      <c r="G519" s="137"/>
      <c r="H519" s="138"/>
      <c r="I519" s="137"/>
      <c r="J519" s="137"/>
      <c r="K519" s="137"/>
    </row>
    <row r="520" spans="1:11" ht="42" customHeight="1" x14ac:dyDescent="0.3">
      <c r="A520" s="139" t="s">
        <v>316</v>
      </c>
      <c r="B520" s="138"/>
      <c r="C520" s="138"/>
      <c r="D520" s="137"/>
      <c r="E520" s="138"/>
      <c r="F520" s="138">
        <f>H520</f>
        <v>1</v>
      </c>
      <c r="G520" s="137"/>
      <c r="H520" s="138">
        <v>1</v>
      </c>
      <c r="I520" s="137"/>
      <c r="J520" s="137"/>
      <c r="K520" s="137"/>
    </row>
    <row r="521" spans="1:11" ht="38.25" customHeight="1" x14ac:dyDescent="0.3">
      <c r="A521" s="258" t="s">
        <v>80</v>
      </c>
      <c r="B521" s="138"/>
      <c r="C521" s="138"/>
      <c r="D521" s="137"/>
      <c r="E521" s="138"/>
      <c r="F521" s="138"/>
      <c r="G521" s="137"/>
      <c r="H521" s="137"/>
      <c r="I521" s="137"/>
      <c r="J521" s="137"/>
      <c r="K521" s="137"/>
    </row>
    <row r="522" spans="1:11" ht="54.75" customHeight="1" x14ac:dyDescent="0.3">
      <c r="A522" s="125" t="s">
        <v>317</v>
      </c>
      <c r="B522" s="138"/>
      <c r="C522" s="138"/>
      <c r="D522" s="137"/>
      <c r="E522" s="138"/>
      <c r="F522" s="138">
        <f>H522</f>
        <v>1194900</v>
      </c>
      <c r="G522" s="137"/>
      <c r="H522" s="138">
        <f>H518/H520</f>
        <v>1194900</v>
      </c>
      <c r="I522" s="137"/>
      <c r="J522" s="137"/>
      <c r="K522" s="137"/>
    </row>
    <row r="523" spans="1:11" ht="54.75" customHeight="1" x14ac:dyDescent="0.3">
      <c r="A523" s="136" t="s">
        <v>81</v>
      </c>
      <c r="B523" s="138"/>
      <c r="C523" s="138"/>
      <c r="D523" s="137"/>
      <c r="E523" s="138"/>
      <c r="F523" s="138"/>
      <c r="G523" s="137"/>
      <c r="H523" s="138"/>
      <c r="I523" s="137"/>
      <c r="J523" s="137"/>
      <c r="K523" s="137"/>
    </row>
    <row r="524" spans="1:11" ht="49.5" customHeight="1" x14ac:dyDescent="0.3">
      <c r="A524" s="125" t="s">
        <v>318</v>
      </c>
      <c r="B524" s="138"/>
      <c r="C524" s="138"/>
      <c r="D524" s="137"/>
      <c r="E524" s="138"/>
      <c r="F524" s="138">
        <f>H524</f>
        <v>100</v>
      </c>
      <c r="G524" s="137"/>
      <c r="H524" s="138">
        <v>100</v>
      </c>
      <c r="I524" s="137"/>
      <c r="J524" s="137"/>
      <c r="K524" s="137"/>
    </row>
    <row r="525" spans="1:11" ht="32.25" customHeight="1" x14ac:dyDescent="0.3">
      <c r="A525" s="505" t="s">
        <v>513</v>
      </c>
      <c r="B525" s="505"/>
      <c r="C525" s="505"/>
      <c r="D525" s="505"/>
      <c r="E525" s="505"/>
      <c r="F525" s="505"/>
      <c r="G525" s="505"/>
      <c r="H525" s="505"/>
      <c r="I525" s="505"/>
      <c r="J525" s="505"/>
      <c r="K525" s="505"/>
    </row>
    <row r="526" spans="1:11" ht="30.75" customHeight="1" x14ac:dyDescent="0.3">
      <c r="A526" s="258" t="s">
        <v>77</v>
      </c>
      <c r="B526" s="138"/>
      <c r="C526" s="138"/>
      <c r="D526" s="137"/>
      <c r="E526" s="138"/>
      <c r="F526" s="137"/>
      <c r="G526" s="137"/>
      <c r="H526" s="137"/>
      <c r="I526" s="137"/>
      <c r="J526" s="137"/>
      <c r="K526" s="137"/>
    </row>
    <row r="527" spans="1:11" ht="53.25" customHeight="1" x14ac:dyDescent="0.3">
      <c r="A527" s="125" t="s">
        <v>328</v>
      </c>
      <c r="B527" s="175">
        <f>C527+F527+I527</f>
        <v>360000</v>
      </c>
      <c r="C527" s="175">
        <f>E527</f>
        <v>360000</v>
      </c>
      <c r="D527" s="176"/>
      <c r="E527" s="175">
        <f>Дод.3!I254*1000</f>
        <v>360000</v>
      </c>
      <c r="F527" s="137"/>
      <c r="G527" s="137"/>
      <c r="H527" s="137"/>
      <c r="I527" s="137"/>
      <c r="J527" s="137"/>
      <c r="K527" s="137"/>
    </row>
    <row r="528" spans="1:11" ht="34.5" customHeight="1" x14ac:dyDescent="0.3">
      <c r="A528" s="258" t="s">
        <v>79</v>
      </c>
      <c r="B528" s="138"/>
      <c r="C528" s="138"/>
      <c r="D528" s="137"/>
      <c r="E528" s="138"/>
      <c r="F528" s="137"/>
      <c r="G528" s="137"/>
      <c r="H528" s="137"/>
      <c r="I528" s="137"/>
      <c r="J528" s="137"/>
      <c r="K528" s="137"/>
    </row>
    <row r="529" spans="1:11" ht="32.25" customHeight="1" x14ac:dyDescent="0.3">
      <c r="A529" s="130" t="s">
        <v>327</v>
      </c>
      <c r="B529" s="138"/>
      <c r="C529" s="138">
        <f>E529</f>
        <v>1</v>
      </c>
      <c r="D529" s="137"/>
      <c r="E529" s="138">
        <v>1</v>
      </c>
      <c r="F529" s="137"/>
      <c r="G529" s="137"/>
      <c r="H529" s="137"/>
      <c r="I529" s="137"/>
      <c r="J529" s="137"/>
      <c r="K529" s="137"/>
    </row>
    <row r="530" spans="1:11" ht="38.25" customHeight="1" x14ac:dyDescent="0.3">
      <c r="A530" s="258" t="s">
        <v>80</v>
      </c>
      <c r="B530" s="138"/>
      <c r="C530" s="138"/>
      <c r="D530" s="137"/>
      <c r="E530" s="138"/>
      <c r="F530" s="137"/>
      <c r="G530" s="137"/>
      <c r="H530" s="137"/>
      <c r="I530" s="137"/>
      <c r="J530" s="137"/>
      <c r="K530" s="137"/>
    </row>
    <row r="531" spans="1:11" ht="53.25" customHeight="1" x14ac:dyDescent="0.3">
      <c r="A531" s="120" t="s">
        <v>329</v>
      </c>
      <c r="B531" s="138"/>
      <c r="C531" s="138">
        <f>E531</f>
        <v>360000</v>
      </c>
      <c r="D531" s="137"/>
      <c r="E531" s="138">
        <f>E527/E529</f>
        <v>360000</v>
      </c>
      <c r="F531" s="137"/>
      <c r="G531" s="137"/>
      <c r="H531" s="137"/>
      <c r="I531" s="137"/>
      <c r="J531" s="137"/>
      <c r="K531" s="137"/>
    </row>
    <row r="532" spans="1:11" ht="34.5" customHeight="1" x14ac:dyDescent="0.3">
      <c r="A532" s="505" t="s">
        <v>525</v>
      </c>
      <c r="B532" s="505"/>
      <c r="C532" s="505"/>
      <c r="D532" s="505"/>
      <c r="E532" s="505"/>
      <c r="F532" s="505"/>
      <c r="G532" s="505"/>
      <c r="H532" s="505"/>
      <c r="I532" s="505"/>
      <c r="J532" s="505"/>
      <c r="K532" s="505"/>
    </row>
    <row r="533" spans="1:11" ht="34.5" customHeight="1" x14ac:dyDescent="0.3">
      <c r="A533" s="258" t="s">
        <v>77</v>
      </c>
      <c r="B533" s="138"/>
      <c r="C533" s="138"/>
      <c r="D533" s="137"/>
      <c r="E533" s="138"/>
      <c r="F533" s="137"/>
      <c r="G533" s="137"/>
      <c r="H533" s="137"/>
      <c r="I533" s="137"/>
      <c r="J533" s="137"/>
      <c r="K533" s="137"/>
    </row>
    <row r="534" spans="1:11" ht="43.5" customHeight="1" x14ac:dyDescent="0.3">
      <c r="A534" s="184" t="s">
        <v>528</v>
      </c>
      <c r="B534" s="175">
        <f>F534+I534</f>
        <v>57121000</v>
      </c>
      <c r="C534" s="175"/>
      <c r="D534" s="176"/>
      <c r="E534" s="175"/>
      <c r="F534" s="175">
        <f>G534+H534</f>
        <v>57121000</v>
      </c>
      <c r="G534" s="175"/>
      <c r="H534" s="175">
        <f>Дод.3!J259*1000</f>
        <v>57121000</v>
      </c>
      <c r="I534" s="138"/>
      <c r="J534" s="137"/>
      <c r="K534" s="137"/>
    </row>
    <row r="535" spans="1:11" ht="59.25" customHeight="1" x14ac:dyDescent="0.3">
      <c r="A535" s="125" t="s">
        <v>536</v>
      </c>
      <c r="B535" s="175"/>
      <c r="C535" s="175"/>
      <c r="D535" s="176"/>
      <c r="E535" s="175"/>
      <c r="F535" s="175">
        <f>H535</f>
        <v>54721000</v>
      </c>
      <c r="G535" s="175"/>
      <c r="H535" s="175">
        <f>Дод.3!J269*1000</f>
        <v>54721000</v>
      </c>
      <c r="I535" s="138"/>
      <c r="J535" s="137"/>
      <c r="K535" s="137"/>
    </row>
    <row r="536" spans="1:11" ht="59.25" customHeight="1" x14ac:dyDescent="0.3">
      <c r="A536" s="125" t="s">
        <v>537</v>
      </c>
      <c r="B536" s="175"/>
      <c r="C536" s="175"/>
      <c r="D536" s="176"/>
      <c r="E536" s="175"/>
      <c r="F536" s="175">
        <f>H536</f>
        <v>2400000</v>
      </c>
      <c r="G536" s="175"/>
      <c r="H536" s="175">
        <f>Дод.3!J270*1000</f>
        <v>2400000</v>
      </c>
      <c r="I536" s="138"/>
      <c r="J536" s="137"/>
      <c r="K536" s="137"/>
    </row>
    <row r="537" spans="1:11" ht="34.5" customHeight="1" x14ac:dyDescent="0.3">
      <c r="A537" s="258" t="s">
        <v>79</v>
      </c>
      <c r="B537" s="138"/>
      <c r="C537" s="138"/>
      <c r="D537" s="137"/>
      <c r="E537" s="138"/>
      <c r="F537" s="138"/>
      <c r="G537" s="138"/>
      <c r="H537" s="138"/>
      <c r="I537" s="138"/>
      <c r="J537" s="137"/>
      <c r="K537" s="137"/>
    </row>
    <row r="538" spans="1:11" ht="53.25" customHeight="1" x14ac:dyDescent="0.3">
      <c r="A538" s="130" t="s">
        <v>535</v>
      </c>
      <c r="B538" s="138"/>
      <c r="C538" s="138"/>
      <c r="D538" s="137"/>
      <c r="E538" s="138"/>
      <c r="F538" s="138">
        <f>G538+H538</f>
        <v>4</v>
      </c>
      <c r="G538" s="138"/>
      <c r="H538" s="138">
        <v>4</v>
      </c>
      <c r="I538" s="138"/>
      <c r="J538" s="137"/>
      <c r="K538" s="137"/>
    </row>
    <row r="539" spans="1:11" ht="59.25" customHeight="1" x14ac:dyDescent="0.3">
      <c r="A539" s="130" t="s">
        <v>534</v>
      </c>
      <c r="B539" s="138"/>
      <c r="C539" s="138"/>
      <c r="D539" s="137"/>
      <c r="E539" s="138"/>
      <c r="F539" s="138">
        <f>G539+H539</f>
        <v>1</v>
      </c>
      <c r="G539" s="138"/>
      <c r="H539" s="138">
        <v>1</v>
      </c>
      <c r="I539" s="138"/>
      <c r="J539" s="137"/>
      <c r="K539" s="137"/>
    </row>
    <row r="540" spans="1:11" ht="39.75" customHeight="1" x14ac:dyDescent="0.3">
      <c r="A540" s="258" t="s">
        <v>80</v>
      </c>
      <c r="B540" s="138"/>
      <c r="C540" s="138"/>
      <c r="D540" s="137"/>
      <c r="E540" s="138"/>
      <c r="F540" s="138"/>
      <c r="G540" s="138"/>
      <c r="H540" s="138"/>
      <c r="I540" s="138"/>
      <c r="J540" s="137"/>
      <c r="K540" s="137"/>
    </row>
    <row r="541" spans="1:11" ht="53.25" customHeight="1" x14ac:dyDescent="0.3">
      <c r="A541" s="120" t="s">
        <v>532</v>
      </c>
      <c r="B541" s="138"/>
      <c r="C541" s="138"/>
      <c r="D541" s="137"/>
      <c r="E541" s="138"/>
      <c r="F541" s="138">
        <f>H541</f>
        <v>13680250</v>
      </c>
      <c r="G541" s="138"/>
      <c r="H541" s="138">
        <f>H535/H538</f>
        <v>13680250</v>
      </c>
      <c r="I541" s="138"/>
      <c r="J541" s="137"/>
      <c r="K541" s="137"/>
    </row>
    <row r="542" spans="1:11" ht="49.5" customHeight="1" x14ac:dyDescent="0.3">
      <c r="A542" s="120" t="s">
        <v>533</v>
      </c>
      <c r="B542" s="138"/>
      <c r="C542" s="138"/>
      <c r="D542" s="137"/>
      <c r="E542" s="138"/>
      <c r="F542" s="138">
        <f>H542</f>
        <v>2400000</v>
      </c>
      <c r="G542" s="138"/>
      <c r="H542" s="138">
        <f>H536/H539</f>
        <v>2400000</v>
      </c>
      <c r="I542" s="138"/>
      <c r="J542" s="137"/>
      <c r="K542" s="137"/>
    </row>
    <row r="543" spans="1:11" ht="53.25" customHeight="1" x14ac:dyDescent="0.3">
      <c r="A543" s="172"/>
      <c r="B543" s="173"/>
      <c r="C543" s="173"/>
      <c r="D543" s="113"/>
      <c r="E543" s="173"/>
      <c r="F543" s="113"/>
      <c r="G543" s="113"/>
      <c r="H543" s="113"/>
      <c r="I543" s="113"/>
      <c r="J543" s="113"/>
      <c r="K543" s="113"/>
    </row>
    <row r="544" spans="1:11" s="21" customFormat="1" ht="28.5" customHeight="1" x14ac:dyDescent="0.35">
      <c r="A544" s="140"/>
      <c r="B544" s="141"/>
      <c r="C544" s="142"/>
      <c r="D544" s="142"/>
      <c r="E544" s="142"/>
      <c r="F544" s="142"/>
      <c r="G544" s="142"/>
      <c r="H544" s="142"/>
      <c r="I544" s="142"/>
      <c r="J544" s="142"/>
      <c r="K544" s="142"/>
    </row>
    <row r="545" spans="1:11" s="21" customFormat="1" ht="28.5" customHeight="1" x14ac:dyDescent="0.4">
      <c r="A545" s="143" t="s">
        <v>558</v>
      </c>
      <c r="B545" s="141"/>
      <c r="C545" s="142"/>
      <c r="D545" s="142"/>
      <c r="E545" s="142"/>
      <c r="F545" s="142" t="s">
        <v>560</v>
      </c>
      <c r="G545" s="142"/>
      <c r="H545" s="142"/>
      <c r="I545" s="144"/>
      <c r="J545" s="142"/>
      <c r="K545" s="142"/>
    </row>
    <row r="546" spans="1:11" s="21" customFormat="1" ht="28.5" customHeight="1" x14ac:dyDescent="0.35">
      <c r="A546" s="140" t="s">
        <v>559</v>
      </c>
      <c r="B546" s="141"/>
      <c r="C546" s="142"/>
      <c r="D546" s="142"/>
      <c r="E546" s="142"/>
      <c r="F546" s="142"/>
      <c r="G546" s="142"/>
      <c r="H546" s="142"/>
      <c r="I546" s="142"/>
      <c r="J546" s="142"/>
      <c r="K546" s="142"/>
    </row>
    <row r="547" spans="1:11" s="21" customFormat="1" ht="28.5" customHeight="1" x14ac:dyDescent="0.4">
      <c r="A547" s="145" t="s">
        <v>544</v>
      </c>
      <c r="B547" s="143"/>
      <c r="C547" s="146"/>
      <c r="D547" s="147"/>
      <c r="E547" s="143"/>
      <c r="F547" s="148"/>
      <c r="G547" s="148"/>
      <c r="H547" s="148"/>
      <c r="J547" s="149"/>
      <c r="K547" s="150"/>
    </row>
    <row r="548" spans="1:11" s="21" customFormat="1" ht="28.5" customHeight="1" x14ac:dyDescent="0.35">
      <c r="A548" s="151"/>
      <c r="B548" s="151"/>
      <c r="C548" s="152"/>
      <c r="D548" s="153"/>
      <c r="E548" s="151"/>
      <c r="F548" s="149"/>
      <c r="G548" s="149"/>
      <c r="H548" s="149"/>
      <c r="I548" s="154"/>
      <c r="J548" s="149"/>
      <c r="K548" s="150"/>
    </row>
    <row r="549" spans="1:11" ht="28.5" customHeight="1" x14ac:dyDescent="0.35">
      <c r="B549" s="151"/>
      <c r="C549" s="155"/>
      <c r="D549" s="153"/>
      <c r="E549" s="151"/>
      <c r="F549" s="149"/>
      <c r="G549" s="149"/>
      <c r="H549" s="149"/>
      <c r="I549" s="149"/>
      <c r="J549" s="149"/>
      <c r="K549" s="156"/>
    </row>
    <row r="550" spans="1:11" ht="28.5" customHeight="1" x14ac:dyDescent="0.35">
      <c r="A550" s="151"/>
      <c r="B550" s="151"/>
      <c r="C550" s="151"/>
      <c r="D550" s="153"/>
      <c r="E550" s="151"/>
      <c r="F550" s="149"/>
      <c r="G550" s="149"/>
      <c r="H550" s="149"/>
      <c r="I550" s="149"/>
      <c r="J550" s="149"/>
      <c r="K550" s="156"/>
    </row>
    <row r="551" spans="1:11" ht="28.5" customHeight="1" x14ac:dyDescent="0.35">
      <c r="A551" s="151"/>
      <c r="B551" s="151"/>
      <c r="C551" s="151"/>
      <c r="D551" s="151"/>
      <c r="E551" s="151"/>
      <c r="F551" s="151"/>
      <c r="G551" s="151"/>
      <c r="H551" s="151"/>
      <c r="I551" s="151"/>
      <c r="J551" s="151"/>
    </row>
  </sheetData>
  <mergeCells count="74">
    <mergeCell ref="H4:K4"/>
    <mergeCell ref="A469:K469"/>
    <mergeCell ref="A489:K489"/>
    <mergeCell ref="A516:K516"/>
    <mergeCell ref="A532:K532"/>
    <mergeCell ref="A155:K155"/>
    <mergeCell ref="A462:K462"/>
    <mergeCell ref="A459:K459"/>
    <mergeCell ref="A461:K461"/>
    <mergeCell ref="A265:K265"/>
    <mergeCell ref="A264:K264"/>
    <mergeCell ref="A313:K313"/>
    <mergeCell ref="A449:K449"/>
    <mergeCell ref="A279:K279"/>
    <mergeCell ref="A303:K303"/>
    <mergeCell ref="A325:K325"/>
    <mergeCell ref="A81:K81"/>
    <mergeCell ref="A88:K88"/>
    <mergeCell ref="A97:K97"/>
    <mergeCell ref="A236:K236"/>
    <mergeCell ref="A237:K237"/>
    <mergeCell ref="A206:K206"/>
    <mergeCell ref="A222:K222"/>
    <mergeCell ref="A111:K111"/>
    <mergeCell ref="A143:K143"/>
    <mergeCell ref="A127:K127"/>
    <mergeCell ref="A197:K197"/>
    <mergeCell ref="A214:K214"/>
    <mergeCell ref="B18:K18"/>
    <mergeCell ref="A23:K23"/>
    <mergeCell ref="A33:K33"/>
    <mergeCell ref="A42:K42"/>
    <mergeCell ref="A62:K62"/>
    <mergeCell ref="A61:K61"/>
    <mergeCell ref="H2:K2"/>
    <mergeCell ref="A15:K15"/>
    <mergeCell ref="A14:K14"/>
    <mergeCell ref="H3:K3"/>
    <mergeCell ref="A6:K6"/>
    <mergeCell ref="A8:A11"/>
    <mergeCell ref="B8:B11"/>
    <mergeCell ref="C8:E9"/>
    <mergeCell ref="F8:H9"/>
    <mergeCell ref="I8:K9"/>
    <mergeCell ref="C10:C11"/>
    <mergeCell ref="G10:H10"/>
    <mergeCell ref="I10:I11"/>
    <mergeCell ref="J10:K10"/>
    <mergeCell ref="D10:E10"/>
    <mergeCell ref="F10:F11"/>
    <mergeCell ref="B17:K17"/>
    <mergeCell ref="A456:K456"/>
    <mergeCell ref="A525:K525"/>
    <mergeCell ref="A293:K293"/>
    <mergeCell ref="A316:K316"/>
    <mergeCell ref="A334:K334"/>
    <mergeCell ref="A366:K366"/>
    <mergeCell ref="A188:K188"/>
    <mergeCell ref="A410:K410"/>
    <mergeCell ref="A413:K413"/>
    <mergeCell ref="A476:K476"/>
    <mergeCell ref="A500:K500"/>
    <mergeCell ref="A507:K507"/>
    <mergeCell ref="A384:K384"/>
    <mergeCell ref="A22:K22"/>
    <mergeCell ref="A72:K72"/>
    <mergeCell ref="A247:K247"/>
    <mergeCell ref="A172:K172"/>
    <mergeCell ref="A375:K375"/>
    <mergeCell ref="A397:K397"/>
    <mergeCell ref="A431:K431"/>
    <mergeCell ref="A257:K257"/>
    <mergeCell ref="A315:K315"/>
    <mergeCell ref="A350:K350"/>
  </mergeCells>
  <pageMargins left="0.78740157480314965" right="0.78740157480314965" top="1.1811023622047245" bottom="0.39370078740157483" header="0.31496062992125984" footer="0.31496062992125984"/>
  <pageSetup paperSize="9" scale="38" fitToHeight="11" orientation="landscape" r:id="rId1"/>
  <rowBreaks count="7" manualBreakCount="7">
    <brk id="60" max="10" man="1"/>
    <brk id="122" max="10" man="1"/>
    <brk id="291" max="10" man="1"/>
    <brk id="322" max="10" man="1"/>
    <brk id="451" max="10" man="1"/>
    <brk id="485" max="10" man="1"/>
    <brk id="51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4"/>
  <sheetViews>
    <sheetView view="pageBreakPreview" zoomScale="40" zoomScaleNormal="50" zoomScaleSheetLayoutView="40" workbookViewId="0">
      <selection activeCell="C25" sqref="C25"/>
    </sheetView>
  </sheetViews>
  <sheetFormatPr defaultColWidth="9.140625" defaultRowHeight="18.75" x14ac:dyDescent="0.3"/>
  <cols>
    <col min="1" max="1" width="6.5703125" style="8" customWidth="1"/>
    <col min="2" max="2" width="25.85546875" style="8" customWidth="1"/>
    <col min="3" max="3" width="54.140625" style="8" customWidth="1"/>
    <col min="4" max="4" width="19" style="8" customWidth="1"/>
    <col min="5" max="5" width="25.85546875" style="8" customWidth="1"/>
    <col min="6" max="6" width="20.140625" style="8" customWidth="1"/>
    <col min="7" max="7" width="24.28515625" style="8" customWidth="1"/>
    <col min="8" max="8" width="26.7109375" style="8" customWidth="1"/>
    <col min="9" max="9" width="45" style="8" customWidth="1"/>
    <col min="10" max="10" width="42.42578125" style="8" customWidth="1"/>
    <col min="11" max="11" width="9.5703125" style="8" bestFit="1" customWidth="1"/>
    <col min="12" max="12" width="11" style="8" bestFit="1" customWidth="1"/>
    <col min="13" max="13" width="9.5703125" style="8" bestFit="1" customWidth="1"/>
    <col min="14" max="16384" width="9.140625" style="8"/>
  </cols>
  <sheetData>
    <row r="2" spans="1:9" ht="33.75" customHeight="1" x14ac:dyDescent="0.3">
      <c r="A2" s="522" t="s">
        <v>314</v>
      </c>
      <c r="B2" s="522"/>
      <c r="C2" s="522"/>
      <c r="D2" s="522"/>
      <c r="E2" s="522"/>
      <c r="F2" s="522"/>
      <c r="G2" s="522"/>
      <c r="H2" s="522"/>
      <c r="I2" s="522"/>
    </row>
    <row r="3" spans="1:9" x14ac:dyDescent="0.3">
      <c r="A3" s="523"/>
      <c r="B3" s="523"/>
      <c r="C3" s="523"/>
      <c r="D3" s="523"/>
      <c r="E3" s="523"/>
      <c r="F3" s="523"/>
      <c r="G3" s="523"/>
      <c r="H3" s="523"/>
      <c r="I3" s="523"/>
    </row>
    <row r="4" spans="1:9" ht="20.25" customHeight="1" x14ac:dyDescent="0.3">
      <c r="A4" s="524" t="s">
        <v>1</v>
      </c>
      <c r="B4" s="525" t="s">
        <v>2</v>
      </c>
      <c r="C4" s="524" t="s">
        <v>3</v>
      </c>
      <c r="D4" s="524" t="s">
        <v>4</v>
      </c>
      <c r="E4" s="526" t="s">
        <v>308</v>
      </c>
      <c r="F4" s="526" t="s">
        <v>305</v>
      </c>
      <c r="G4" s="526" t="s">
        <v>487</v>
      </c>
      <c r="H4" s="527" t="s">
        <v>306</v>
      </c>
      <c r="I4" s="528"/>
    </row>
    <row r="5" spans="1:9" ht="20.25" customHeight="1" x14ac:dyDescent="0.3">
      <c r="A5" s="524"/>
      <c r="B5" s="525"/>
      <c r="C5" s="524"/>
      <c r="D5" s="524"/>
      <c r="E5" s="526"/>
      <c r="F5" s="526"/>
      <c r="G5" s="526"/>
      <c r="H5" s="529"/>
      <c r="I5" s="530"/>
    </row>
    <row r="6" spans="1:9" ht="109.5" customHeight="1" x14ac:dyDescent="0.3">
      <c r="A6" s="524"/>
      <c r="B6" s="525"/>
      <c r="C6" s="524"/>
      <c r="D6" s="524"/>
      <c r="E6" s="526"/>
      <c r="F6" s="526"/>
      <c r="G6" s="526"/>
      <c r="H6" s="531"/>
      <c r="I6" s="532"/>
    </row>
    <row r="7" spans="1:9" x14ac:dyDescent="0.3">
      <c r="A7" s="178">
        <v>1</v>
      </c>
      <c r="B7" s="198">
        <v>2</v>
      </c>
      <c r="C7" s="178">
        <v>3</v>
      </c>
      <c r="D7" s="178">
        <v>4</v>
      </c>
      <c r="E7" s="23">
        <v>5</v>
      </c>
      <c r="F7" s="23">
        <v>6</v>
      </c>
      <c r="G7" s="23">
        <v>7</v>
      </c>
      <c r="H7" s="533"/>
      <c r="I7" s="534"/>
    </row>
    <row r="8" spans="1:9" ht="147" customHeight="1" x14ac:dyDescent="0.3">
      <c r="A8" s="342" t="s">
        <v>92</v>
      </c>
      <c r="B8" s="535" t="s">
        <v>405</v>
      </c>
      <c r="C8" s="207" t="s">
        <v>342</v>
      </c>
      <c r="D8" s="192" t="s">
        <v>150</v>
      </c>
      <c r="E8" s="208">
        <v>2488.9</v>
      </c>
      <c r="F8" s="209">
        <f t="shared" ref="F8:F14" si="0">G8-E8</f>
        <v>-98.400000000000091</v>
      </c>
      <c r="G8" s="208">
        <v>2390.5</v>
      </c>
      <c r="H8" s="517" t="s">
        <v>549</v>
      </c>
      <c r="I8" s="518"/>
    </row>
    <row r="9" spans="1:9" ht="153" customHeight="1" x14ac:dyDescent="0.3">
      <c r="A9" s="342"/>
      <c r="B9" s="536"/>
      <c r="C9" s="207" t="s">
        <v>415</v>
      </c>
      <c r="D9" s="192" t="s">
        <v>150</v>
      </c>
      <c r="E9" s="208">
        <v>110</v>
      </c>
      <c r="F9" s="209">
        <f t="shared" si="0"/>
        <v>-1.2000000000000028</v>
      </c>
      <c r="G9" s="208">
        <v>108.8</v>
      </c>
      <c r="H9" s="517" t="s">
        <v>550</v>
      </c>
      <c r="I9" s="518"/>
    </row>
    <row r="10" spans="1:9" ht="139.5" customHeight="1" x14ac:dyDescent="0.3">
      <c r="A10" s="342"/>
      <c r="B10" s="536"/>
      <c r="C10" s="207" t="s">
        <v>418</v>
      </c>
      <c r="D10" s="192" t="s">
        <v>150</v>
      </c>
      <c r="E10" s="208">
        <v>955.8</v>
      </c>
      <c r="F10" s="209">
        <f t="shared" si="0"/>
        <v>-480.09999999999997</v>
      </c>
      <c r="G10" s="208">
        <v>475.7</v>
      </c>
      <c r="H10" s="517" t="s">
        <v>551</v>
      </c>
      <c r="I10" s="518"/>
    </row>
    <row r="11" spans="1:9" ht="120.75" customHeight="1" x14ac:dyDescent="0.3">
      <c r="A11" s="342"/>
      <c r="B11" s="536"/>
      <c r="C11" s="123" t="s">
        <v>483</v>
      </c>
      <c r="D11" s="192" t="s">
        <v>150</v>
      </c>
      <c r="E11" s="208">
        <v>527.20000000000005</v>
      </c>
      <c r="F11" s="209">
        <f t="shared" si="0"/>
        <v>-527.20000000000005</v>
      </c>
      <c r="G11" s="208">
        <v>0</v>
      </c>
      <c r="H11" s="517" t="s">
        <v>552</v>
      </c>
      <c r="I11" s="518"/>
    </row>
    <row r="12" spans="1:9" ht="294" customHeight="1" x14ac:dyDescent="0.3">
      <c r="A12" s="342"/>
      <c r="B12" s="536"/>
      <c r="C12" s="123" t="s">
        <v>421</v>
      </c>
      <c r="D12" s="192" t="s">
        <v>150</v>
      </c>
      <c r="E12" s="208">
        <v>3853.4</v>
      </c>
      <c r="F12" s="209">
        <f t="shared" si="0"/>
        <v>1225.9000000000001</v>
      </c>
      <c r="G12" s="208">
        <v>5079.3</v>
      </c>
      <c r="H12" s="517" t="s">
        <v>553</v>
      </c>
      <c r="I12" s="518"/>
    </row>
    <row r="13" spans="1:9" ht="204" customHeight="1" x14ac:dyDescent="0.3">
      <c r="A13" s="342"/>
      <c r="B13" s="537"/>
      <c r="C13" s="210" t="s">
        <v>425</v>
      </c>
      <c r="D13" s="192" t="s">
        <v>150</v>
      </c>
      <c r="E13" s="208">
        <v>8119.9</v>
      </c>
      <c r="F13" s="209">
        <f t="shared" si="0"/>
        <v>625.60000000000036</v>
      </c>
      <c r="G13" s="208">
        <v>8745.5</v>
      </c>
      <c r="H13" s="517" t="s">
        <v>554</v>
      </c>
      <c r="I13" s="518"/>
    </row>
    <row r="14" spans="1:9" ht="40.5" customHeight="1" x14ac:dyDescent="0.3">
      <c r="A14" s="519" t="s">
        <v>484</v>
      </c>
      <c r="B14" s="520"/>
      <c r="C14" s="521"/>
      <c r="D14" s="192"/>
      <c r="E14" s="188">
        <v>98025.1</v>
      </c>
      <c r="F14" s="189">
        <f t="shared" si="0"/>
        <v>744.59999999999127</v>
      </c>
      <c r="G14" s="188">
        <v>98769.7</v>
      </c>
      <c r="H14" s="515"/>
      <c r="I14" s="516"/>
    </row>
    <row r="15" spans="1:9" ht="159" customHeight="1" x14ac:dyDescent="0.3">
      <c r="A15" s="201" t="s">
        <v>91</v>
      </c>
      <c r="B15" s="202" t="s">
        <v>392</v>
      </c>
      <c r="C15" s="123" t="s">
        <v>430</v>
      </c>
      <c r="D15" s="192" t="s">
        <v>150</v>
      </c>
      <c r="E15" s="211">
        <v>2500</v>
      </c>
      <c r="F15" s="185">
        <f t="shared" ref="F15:F21" si="1">G15-E15</f>
        <v>1000</v>
      </c>
      <c r="G15" s="211">
        <v>3500</v>
      </c>
      <c r="H15" s="517" t="s">
        <v>555</v>
      </c>
      <c r="I15" s="518"/>
    </row>
    <row r="16" spans="1:9" ht="45" customHeight="1" x14ac:dyDescent="0.3">
      <c r="A16" s="519" t="s">
        <v>485</v>
      </c>
      <c r="B16" s="520"/>
      <c r="C16" s="521"/>
      <c r="D16" s="192"/>
      <c r="E16" s="188">
        <v>18796</v>
      </c>
      <c r="F16" s="189">
        <f>G16-E16</f>
        <v>1000</v>
      </c>
      <c r="G16" s="188">
        <v>19796</v>
      </c>
      <c r="H16" s="515"/>
      <c r="I16" s="516"/>
    </row>
    <row r="17" spans="1:13" ht="319.5" hidden="1" customHeight="1" x14ac:dyDescent="0.3">
      <c r="A17" s="201" t="s">
        <v>95</v>
      </c>
      <c r="B17" s="201" t="s">
        <v>87</v>
      </c>
      <c r="C17" s="203"/>
      <c r="D17" s="191"/>
      <c r="E17" s="185"/>
      <c r="F17" s="185"/>
      <c r="G17" s="185"/>
      <c r="H17" s="517"/>
      <c r="I17" s="518"/>
    </row>
    <row r="18" spans="1:13" ht="40.5" hidden="1" customHeight="1" x14ac:dyDescent="0.3">
      <c r="A18" s="519" t="s">
        <v>486</v>
      </c>
      <c r="B18" s="520"/>
      <c r="C18" s="521"/>
      <c r="D18" s="193"/>
      <c r="E18" s="190"/>
      <c r="F18" s="190"/>
      <c r="G18" s="190"/>
      <c r="H18" s="515"/>
      <c r="I18" s="516"/>
    </row>
    <row r="19" spans="1:13" ht="266.25" customHeight="1" x14ac:dyDescent="0.3">
      <c r="A19" s="544" t="s">
        <v>97</v>
      </c>
      <c r="B19" s="333" t="s">
        <v>98</v>
      </c>
      <c r="C19" s="123" t="s">
        <v>482</v>
      </c>
      <c r="D19" s="212" t="s">
        <v>151</v>
      </c>
      <c r="E19" s="211">
        <v>154735.4</v>
      </c>
      <c r="F19" s="185">
        <f>G19-E19</f>
        <v>10773.800000000017</v>
      </c>
      <c r="G19" s="22">
        <v>165509.20000000001</v>
      </c>
      <c r="H19" s="517" t="s">
        <v>563</v>
      </c>
      <c r="I19" s="518"/>
    </row>
    <row r="20" spans="1:13" ht="187.5" customHeight="1" x14ac:dyDescent="0.3">
      <c r="A20" s="545"/>
      <c r="B20" s="339"/>
      <c r="C20" s="213" t="s">
        <v>547</v>
      </c>
      <c r="D20" s="212" t="s">
        <v>151</v>
      </c>
      <c r="E20" s="211">
        <v>42042.9</v>
      </c>
      <c r="F20" s="185">
        <f>G20-E20</f>
        <v>-6710</v>
      </c>
      <c r="G20" s="22">
        <v>35332.9</v>
      </c>
      <c r="H20" s="517" t="s">
        <v>548</v>
      </c>
      <c r="I20" s="518"/>
      <c r="J20" s="214"/>
    </row>
    <row r="21" spans="1:13" ht="252.75" customHeight="1" x14ac:dyDescent="0.4">
      <c r="A21" s="545"/>
      <c r="B21" s="339"/>
      <c r="C21" s="213" t="s">
        <v>493</v>
      </c>
      <c r="D21" s="212" t="s">
        <v>151</v>
      </c>
      <c r="E21" s="185">
        <v>56161.9</v>
      </c>
      <c r="F21" s="185">
        <f t="shared" si="1"/>
        <v>959.09999999999854</v>
      </c>
      <c r="G21" s="185">
        <v>57121</v>
      </c>
      <c r="H21" s="517" t="s">
        <v>556</v>
      </c>
      <c r="I21" s="518"/>
      <c r="J21" s="205"/>
    </row>
    <row r="22" spans="1:13" ht="51" customHeight="1" x14ac:dyDescent="0.45">
      <c r="A22" s="519" t="s">
        <v>313</v>
      </c>
      <c r="B22" s="520"/>
      <c r="C22" s="521"/>
      <c r="D22" s="105"/>
      <c r="E22" s="188">
        <v>254242.3</v>
      </c>
      <c r="F22" s="189">
        <f>G22-E22</f>
        <v>5022.9000000000233</v>
      </c>
      <c r="G22" s="188">
        <v>259265.2</v>
      </c>
      <c r="H22" s="542"/>
      <c r="I22" s="543"/>
      <c r="J22" s="199"/>
      <c r="L22" s="24"/>
      <c r="M22" s="24"/>
    </row>
    <row r="23" spans="1:13" ht="26.25" customHeight="1" x14ac:dyDescent="0.45">
      <c r="A23" s="539" t="s">
        <v>307</v>
      </c>
      <c r="B23" s="540"/>
      <c r="C23" s="541"/>
      <c r="D23" s="105"/>
      <c r="E23" s="189">
        <v>376640.5</v>
      </c>
      <c r="F23" s="189">
        <f>G23-E23</f>
        <v>6767.7250000000349</v>
      </c>
      <c r="G23" s="189">
        <v>383408.22500000003</v>
      </c>
      <c r="H23" s="542"/>
      <c r="I23" s="543"/>
      <c r="J23" s="206"/>
    </row>
    <row r="24" spans="1:13" ht="20.25" x14ac:dyDescent="0.3">
      <c r="A24" s="10"/>
      <c r="B24" s="10"/>
      <c r="C24" s="10"/>
      <c r="D24" s="10"/>
      <c r="E24" s="10"/>
      <c r="F24" s="10"/>
      <c r="G24" s="10"/>
      <c r="H24" s="10"/>
      <c r="I24" s="179"/>
    </row>
    <row r="25" spans="1:13" ht="41.25" customHeight="1" x14ac:dyDescent="0.35">
      <c r="A25" s="151" t="s">
        <v>564</v>
      </c>
      <c r="B25" s="111"/>
      <c r="C25" s="180"/>
      <c r="D25" s="181"/>
      <c r="E25" s="111"/>
      <c r="F25" s="154"/>
      <c r="G25" s="538" t="s">
        <v>560</v>
      </c>
      <c r="H25" s="538"/>
      <c r="I25" s="10"/>
    </row>
    <row r="26" spans="1:13" ht="20.25" x14ac:dyDescent="0.3">
      <c r="A26" s="111"/>
      <c r="B26" s="111"/>
      <c r="C26" s="180"/>
      <c r="D26" s="181"/>
      <c r="E26" s="111"/>
      <c r="F26" s="182"/>
      <c r="G26" s="182"/>
      <c r="H26" s="182"/>
      <c r="I26" s="115"/>
    </row>
    <row r="27" spans="1:13" ht="23.25" x14ac:dyDescent="0.35">
      <c r="A27" s="183" t="s">
        <v>25</v>
      </c>
      <c r="B27" s="151"/>
      <c r="C27" s="155"/>
      <c r="D27" s="153"/>
      <c r="E27" s="151"/>
      <c r="F27" s="187"/>
      <c r="G27" s="149"/>
      <c r="H27" s="149"/>
      <c r="I27" s="149"/>
    </row>
    <row r="28" spans="1:13" ht="23.25" x14ac:dyDescent="0.35">
      <c r="A28" s="186"/>
      <c r="B28" s="186"/>
      <c r="C28" s="186"/>
      <c r="D28" s="186"/>
      <c r="E28" s="186"/>
      <c r="F28" s="186"/>
      <c r="G28" s="186"/>
      <c r="H28" s="186"/>
      <c r="I28" s="186"/>
    </row>
    <row r="29" spans="1:13" x14ac:dyDescent="0.3">
      <c r="F29" s="25"/>
    </row>
    <row r="31" spans="1:13" x14ac:dyDescent="0.3">
      <c r="G31" s="25"/>
    </row>
    <row r="32" spans="1:13" x14ac:dyDescent="0.3">
      <c r="F32" s="24"/>
    </row>
    <row r="33" spans="5:7" x14ac:dyDescent="0.3">
      <c r="E33" s="24"/>
      <c r="F33" s="24"/>
      <c r="G33" s="24"/>
    </row>
    <row r="34" spans="5:7" x14ac:dyDescent="0.3">
      <c r="E34" s="25"/>
      <c r="F34" s="25"/>
    </row>
  </sheetData>
  <mergeCells count="36">
    <mergeCell ref="G25:H25"/>
    <mergeCell ref="A23:C23"/>
    <mergeCell ref="H23:I23"/>
    <mergeCell ref="H19:I19"/>
    <mergeCell ref="H21:I21"/>
    <mergeCell ref="A22:C22"/>
    <mergeCell ref="H22:I22"/>
    <mergeCell ref="B19:B21"/>
    <mergeCell ref="A19:A21"/>
    <mergeCell ref="H20:I20"/>
    <mergeCell ref="H7:I7"/>
    <mergeCell ref="H8:I8"/>
    <mergeCell ref="H12:I12"/>
    <mergeCell ref="B8:B13"/>
    <mergeCell ref="A8:A13"/>
    <mergeCell ref="H13:I13"/>
    <mergeCell ref="H9:I9"/>
    <mergeCell ref="H10:I10"/>
    <mergeCell ref="A2:I3"/>
    <mergeCell ref="A4:A6"/>
    <mergeCell ref="B4:B6"/>
    <mergeCell ref="C4:C6"/>
    <mergeCell ref="D4:D6"/>
    <mergeCell ref="E4:E6"/>
    <mergeCell ref="F4:F6"/>
    <mergeCell ref="G4:G6"/>
    <mergeCell ref="H4:I6"/>
    <mergeCell ref="H18:I18"/>
    <mergeCell ref="H11:I11"/>
    <mergeCell ref="A14:C14"/>
    <mergeCell ref="H14:I14"/>
    <mergeCell ref="H15:I15"/>
    <mergeCell ref="A16:C16"/>
    <mergeCell ref="H16:I16"/>
    <mergeCell ref="H17:I17"/>
    <mergeCell ref="A18:C18"/>
  </mergeCells>
  <pageMargins left="0.23622047244094491" right="0.23622047244094491" top="0.74803149606299213" bottom="0.74803149606299213" header="0.31496062992125984" footer="0.31496062992125984"/>
  <pageSetup paperSize="9" scale="45" orientation="landscape" r:id="rId1"/>
  <rowBreaks count="1" manualBreakCount="1">
    <brk id="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Дод.3</vt:lpstr>
      <vt:lpstr>Дод.4</vt:lpstr>
      <vt:lpstr>порівняльна</vt:lpstr>
      <vt:lpstr>Дод.3!Заголовки_для_печати</vt:lpstr>
      <vt:lpstr>Дод.4!Заголовки_для_печати</vt:lpstr>
      <vt:lpstr>Дод.3!Область_печати</vt:lpstr>
      <vt:lpstr>Дод.4!Область_печати</vt:lpstr>
      <vt:lpstr>'Додаток 1'!Область_печати</vt:lpstr>
      <vt:lpstr>порівняльна!Область_печати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Tatiana</cp:lastModifiedBy>
  <cp:lastPrinted>2023-11-14T13:45:17Z</cp:lastPrinted>
  <dcterms:created xsi:type="dcterms:W3CDTF">1996-10-08T23:32:33Z</dcterms:created>
  <dcterms:modified xsi:type="dcterms:W3CDTF">2023-11-21T12:41:11Z</dcterms:modified>
</cp:coreProperties>
</file>